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victo_on4\Desktop\Equity Research\"/>
    </mc:Choice>
  </mc:AlternateContent>
  <xr:revisionPtr revIDLastSave="0" documentId="13_ncr:1_{9CD8EBDF-58C1-428D-889A-84A61E6679A2}" xr6:coauthVersionLast="47" xr6:coauthVersionMax="47" xr10:uidLastSave="{00000000-0000-0000-0000-000000000000}"/>
  <bookViews>
    <workbookView xWindow="-98" yWindow="-98" windowWidth="22276" windowHeight="13276" xr2:uid="{00000000-000D-0000-FFFF-FFFF00000000}"/>
  </bookViews>
  <sheets>
    <sheet name="Discounted Cash Flow " sheetId="9" r:id="rId1"/>
    <sheet name="Public (Trading) Comps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FDS_HYPERLINK_TOGGLE_STATE__" hidden="1">"ON"</definedName>
    <definedName name="_bdm.41B7446C4C634C0CB571A940C585DD1B.edm" hidden="1">#REF!</definedName>
    <definedName name="_bdm.E25E6F40173E4FC69B593C2FA546CC72.edm" hidden="1">#REF!</definedName>
    <definedName name="AccPayablePercentofCOGS">'[1]LGF Assumptions'!$B$81:$O$81</definedName>
    <definedName name="Amortization">'[2]RBA Financials'!#REF!</definedName>
    <definedName name="ARPercentofSales">'[1]LGF Assumptions'!$B$80:$O$80</definedName>
    <definedName name="Beta">'[2]DCF Solution'!$C$11</definedName>
    <definedName name="CAPEX">'[1]LGF Financials'!$B$76:$O$76</definedName>
    <definedName name="Cash_NPV_EBITDA_Multiple">'[2]DCF Solution'!$C$63</definedName>
    <definedName name="Cash_NPV_PerpetualGrowth">'[2]DCF Solution'!$C$46</definedName>
    <definedName name="CashInterestRate">'[1]LGF Assumptions'!$B$111:$O$111</definedName>
    <definedName name="CashMovements_CF">'[2]RBA Financials'!$90:$90</definedName>
    <definedName name="Ccy">"USD"</definedName>
    <definedName name="CIQWBGuid" hidden="1">"dc0d3d09-be8e-4cfa-aa6e-b324651c3be9"</definedName>
    <definedName name="Circ">[3]Model!$M$3</definedName>
    <definedName name="COGS">'[1]LGF Assumptions'!$B$45:$O$45</definedName>
    <definedName name="CommonEquity">'[2]RBA Financials'!$87:$87</definedName>
    <definedName name="Conv">"h"</definedName>
    <definedName name="Debt_BS">'[2]RBA Financials'!$138:$138</definedName>
    <definedName name="Debt_NPV_EBITDA_Multiple">'[2]DCF Solution'!$C$62</definedName>
    <definedName name="Debt_NPV_PerpetualGrowth">'[2]DCF Solution'!$C$45</definedName>
    <definedName name="Debt_Waac">'[2]DCF Solution'!$C$8</definedName>
    <definedName name="DebtCost_AterTax_Wacc">'[2]DCF Solution'!$C$15</definedName>
    <definedName name="DebtCost_Waac">'[2]DCF Solution'!$C$13</definedName>
    <definedName name="DebtIssuance">'[2]RBA Financials'!$86:$86</definedName>
    <definedName name="DebtRepayment">'[2]RBA Financials'!$85:$85</definedName>
    <definedName name="DeltaWorkingCapital">'[1]LGF Financials'!$B$66:$O$66</definedName>
    <definedName name="Depreciation">'[1]LGF Financials'!$B$47:$O$47</definedName>
    <definedName name="DistMarketingAsPerSales">'[1]LGF Assumptions'!$B$47:$O$47</definedName>
    <definedName name="DOW_First">'[4]Stock Performance'!$K$11</definedName>
    <definedName name="EBIT">'[1]LGF Financials'!$B$21:$O$21</definedName>
    <definedName name="EBITDA_Multiple">'[2]DCF Solution'!$C$54</definedName>
    <definedName name="EndingCash">'[2]RBA Financials'!$99:$99</definedName>
    <definedName name="EquityCost_Wacc">'[2]DCF Solution'!$C$12</definedName>
    <definedName name="EquityValue__EquityPerpetualGrowh">'[2]DCF Solution'!$G$45</definedName>
    <definedName name="EquityValue_NPR_EBITDA_Multiple">'[2]DCF Solution'!$C$66</definedName>
    <definedName name="EquityValue_PerpetualGrowth">'[2]DCF Solution'!$C$49</definedName>
    <definedName name="EV_EBITDA_Multiple">'[2]DCF Solution'!$C$61</definedName>
    <definedName name="ExchangeImpact">'[2]RBA Financials'!$95:$95</definedName>
    <definedName name="Exit_Multiple">'[5]LBO - Internal Assumptions'!$E$48</definedName>
    <definedName name="FCFE">'[2]DCF Solution'!$32:$32</definedName>
    <definedName name="FCFE_Growth">'[2]DCF Solution'!$C$19</definedName>
    <definedName name="FCFE_NPV_PerpetualGrowth">'[2]DCF Solution'!$G$42</definedName>
    <definedName name="FCFF">'[2]DCF Solution'!$27:$27</definedName>
    <definedName name="FCFF_Growth">'[2]DCF Solution'!$C$18</definedName>
    <definedName name="FCFF_NPV_EBITDA_Multiple">'[2]DCF Solution'!$C$59</definedName>
    <definedName name="FCFF_NPV_PerpetualGrowth">'[2]DCF Solution'!$C$42</definedName>
    <definedName name="First_CLose">'[4]Stock Performance'!$G$11</definedName>
    <definedName name="GrossMargin">'[1]LGF Assumptions'!$B$48:$O$48</definedName>
    <definedName name="GrowthCapex">'[2]RBA Financials'!$74:$74</definedName>
    <definedName name="InterestExpense">'[2]RBA Financials'!$25:$25</definedName>
    <definedName name="InterestIncome">'[2]RBA Financials'!$26:$26</definedName>
    <definedName name="InventoryPercOfCOGS">'[6]Wynn DCF Assumptions (LBO)'!$B$90:$T$90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41840.265474537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MaintenanceCapex">'[2]RBA Financials'!$73:$73</definedName>
    <definedName name="MarketReturn">'[2]DCF Solution'!$C$9</definedName>
    <definedName name="MinorityInterest_EquityPerpetualGrowth">'[2]DCF Solution'!$G$44</definedName>
    <definedName name="MinorityInterest_NPV_EBITDAMultiple">'[2]DCF Solution'!$C$65</definedName>
    <definedName name="MLNK0c986704610f4fd2812d9517079a0319" hidden="1">#REF!</definedName>
    <definedName name="NASDAQ_First">'[4]Stock Performance'!$I$11</definedName>
    <definedName name="OpCashFlow">'[1]LGF Financials'!$B$68:$O$68</definedName>
    <definedName name="Opex_1">'[2]RBA Financials'!$12:$12</definedName>
    <definedName name="OS_NPV_EBITDA_Multiple">'[2]DCF Solution'!$C$67</definedName>
    <definedName name="OS_NPV_EquityPerpetualGrowth">'[2]DCF Solution'!$G$46</definedName>
    <definedName name="OS_NPV_PerpetualGrowth">'[2]DCF Solution'!$C$50</definedName>
    <definedName name="OtherAssets_CF">'[2]RBA Financials'!$76:$76</definedName>
    <definedName name="OtherCurAssetsPercOfSales">'[2]RBA Assumptions'!#REF!</definedName>
    <definedName name="OtherCurLiabPercOfCOGS">'[1]LGF Assumptions'!$B$83:$O$83</definedName>
    <definedName name="OtherEquity_CF">'[2]RBA Financials'!$92:$92</definedName>
    <definedName name="OtherExpenses">'[2]RBA Financials'!$29:$29</definedName>
    <definedName name="OtherFinancingActivities_CF">'[2]RBA Financials'!$91:$91</definedName>
    <definedName name="OtherFinancingCosts_CF">'[2]RBA Financials'!$89:$89</definedName>
    <definedName name="OtherInvesting_CF">'[2]RBA Financials'!$79:$79</definedName>
    <definedName name="PartAndResidAsPerSales">'[1]LGF Assumptions'!$B$46:$O$46</definedName>
    <definedName name="RD">'[6]Wynn Financials (LBO)'!#REF!</definedName>
    <definedName name="RDPercentofSales">'[6]Wynn DCF Assumptions (LBO)'!#REF!</definedName>
    <definedName name="Rev_MP">#REF!</definedName>
    <definedName name="Rev_TV">#REF!</definedName>
    <definedName name="RiskPremium">'[2]DCF Solution'!$C$10</definedName>
    <definedName name="SecuritiesInvestments_CF">'[2]RBA Financials'!$75:$75</definedName>
    <definedName name="SGA">'[1]LGF Financials'!$B$16:$O$16</definedName>
    <definedName name="SGAPercentofSales">'[1]LGF Assumptions'!$B$49:$O$49</definedName>
    <definedName name="SharePrice_EBITDA_Multiple">'[2]DCF Solution'!$C$68</definedName>
    <definedName name="SharePrice_EquityPerpetualGrowth">'[2]DCF Solution'!$G$47</definedName>
    <definedName name="SharePrice_PerpetualGrowth">'[2]DCF Solution'!$C$51</definedName>
    <definedName name="SOCL_First">'[4]Stock Performance'!$M$11</definedName>
    <definedName name="TargetGearing">'[2]DCF Solution'!$C$16</definedName>
    <definedName name="Tax">'[2]RBA Financials'!$32:$32</definedName>
    <definedName name="TaxRate">'[1]LGF Assumptions'!$B$57:$O$57</definedName>
    <definedName name="TaxRate_Wacc">'[2]DCF Solution'!$C$14</definedName>
    <definedName name="Terminal_EBITDA">'[2]DCF Solution'!$C$56</definedName>
    <definedName name="TerminalValue_NPV_PerpectualGrowthEquity">'[2]DCF Solution'!$G$40</definedName>
    <definedName name="TerminalValue_NPV_PerpetualGrowth">'[2]DCF Solution'!$C$40</definedName>
    <definedName name="TerminalValueNPV">'[2]DCF Solution'!$C$57</definedName>
    <definedName name="thousand">1000</definedName>
    <definedName name="thousands">1000</definedName>
    <definedName name="TotalRevenues">'[1]LGF Financials'!$B$9:$O$9</definedName>
    <definedName name="ValuationDate">'[2]DCF Solution'!$C$20</definedName>
    <definedName name="WAAC">'[2]DCF Solution'!$C$17</definedName>
    <definedName name="WCChange">'[2]RBA Financials'!$68:$68</definedName>
    <definedName name="WynnMacauIPO">'[2]RBA Financials'!#REF!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E8" i="11"/>
  <c r="E9" i="11"/>
  <c r="J74" i="9"/>
  <c r="L79" i="9"/>
  <c r="M79" i="9"/>
  <c r="N79" i="9"/>
  <c r="O79" i="9"/>
  <c r="K79" i="9"/>
  <c r="L71" i="9"/>
  <c r="M71" i="9"/>
  <c r="N71" i="9"/>
  <c r="O71" i="9"/>
  <c r="K71" i="9"/>
  <c r="O36" i="9"/>
  <c r="N36" i="9"/>
  <c r="M36" i="9"/>
  <c r="L36" i="9"/>
  <c r="O25" i="9"/>
  <c r="N25" i="9"/>
  <c r="M25" i="9"/>
  <c r="L25" i="9"/>
  <c r="K25" i="9"/>
  <c r="K23" i="9"/>
  <c r="L30" i="9"/>
  <c r="M32" i="9"/>
  <c r="O32" i="9"/>
  <c r="K31" i="9"/>
  <c r="K32" i="9" s="1"/>
  <c r="L32" i="9"/>
  <c r="T32" i="9"/>
  <c r="K11" i="9"/>
  <c r="T39" i="9"/>
  <c r="O52" i="9"/>
  <c r="J82" i="9" s="1"/>
  <c r="O50" i="9"/>
  <c r="Q34" i="11"/>
  <c r="Q35" i="11" s="1"/>
  <c r="Q36" i="11" s="1"/>
  <c r="Q37" i="11" s="1"/>
  <c r="P34" i="11"/>
  <c r="O27" i="11"/>
  <c r="O26" i="11"/>
  <c r="O25" i="11"/>
  <c r="O24" i="11"/>
  <c r="O23" i="11"/>
  <c r="O22" i="11"/>
  <c r="O21" i="11"/>
  <c r="O20" i="11"/>
  <c r="O18" i="11"/>
  <c r="N27" i="11"/>
  <c r="N25" i="11"/>
  <c r="N24" i="11"/>
  <c r="N23" i="11"/>
  <c r="N22" i="11"/>
  <c r="N21" i="11"/>
  <c r="N18" i="11"/>
  <c r="M27" i="11"/>
  <c r="M26" i="11"/>
  <c r="M25" i="11"/>
  <c r="M24" i="11"/>
  <c r="M23" i="11"/>
  <c r="M22" i="11"/>
  <c r="M21" i="11"/>
  <c r="M20" i="11"/>
  <c r="M18" i="11"/>
  <c r="L27" i="11"/>
  <c r="L26" i="11"/>
  <c r="L25" i="11"/>
  <c r="L24" i="11"/>
  <c r="L23" i="11"/>
  <c r="L22" i="11"/>
  <c r="L21" i="11"/>
  <c r="L20" i="11"/>
  <c r="L18" i="11"/>
  <c r="K27" i="11"/>
  <c r="K26" i="11"/>
  <c r="K25" i="11"/>
  <c r="K24" i="11"/>
  <c r="K23" i="11"/>
  <c r="K22" i="11"/>
  <c r="K21" i="11"/>
  <c r="K20" i="11"/>
  <c r="J22" i="11"/>
  <c r="J21" i="11"/>
  <c r="J20" i="11"/>
  <c r="K18" i="11"/>
  <c r="J18" i="11"/>
  <c r="I27" i="11"/>
  <c r="I26" i="11"/>
  <c r="I25" i="11"/>
  <c r="I24" i="11"/>
  <c r="I23" i="11"/>
  <c r="I22" i="11"/>
  <c r="I21" i="11"/>
  <c r="I20" i="11"/>
  <c r="I18" i="11"/>
  <c r="G22" i="11"/>
  <c r="G20" i="11"/>
  <c r="G27" i="11"/>
  <c r="G26" i="11"/>
  <c r="G25" i="11"/>
  <c r="G24" i="11"/>
  <c r="G23" i="11"/>
  <c r="G21" i="11"/>
  <c r="F27" i="11"/>
  <c r="F26" i="11"/>
  <c r="F24" i="11"/>
  <c r="F23" i="11"/>
  <c r="F22" i="11"/>
  <c r="F21" i="11"/>
  <c r="F20" i="11"/>
  <c r="F18" i="11"/>
  <c r="E27" i="11"/>
  <c r="E26" i="11"/>
  <c r="E25" i="11"/>
  <c r="E24" i="11"/>
  <c r="E23" i="11"/>
  <c r="E22" i="11"/>
  <c r="E21" i="11"/>
  <c r="E20" i="11"/>
  <c r="D27" i="11"/>
  <c r="D26" i="11"/>
  <c r="D25" i="11"/>
  <c r="D24" i="11"/>
  <c r="D23" i="11"/>
  <c r="D22" i="11"/>
  <c r="D21" i="11"/>
  <c r="D18" i="11"/>
  <c r="N16" i="11"/>
  <c r="E6" i="11"/>
  <c r="O51" i="9"/>
  <c r="O46" i="9"/>
  <c r="O43" i="9"/>
  <c r="O44" i="9"/>
  <c r="T38" i="9"/>
  <c r="T31" i="9"/>
  <c r="T36" i="9"/>
  <c r="T23" i="9"/>
  <c r="T28" i="9"/>
  <c r="L34" i="9"/>
  <c r="M34" i="9"/>
  <c r="L29" i="9"/>
  <c r="M29" i="9"/>
  <c r="L22" i="9"/>
  <c r="K22" i="9"/>
  <c r="J32" i="9"/>
  <c r="K29" i="9"/>
  <c r="J29" i="9"/>
  <c r="J33" i="9"/>
  <c r="J31" i="9"/>
  <c r="J28" i="9"/>
  <c r="J27" i="9"/>
  <c r="T49" i="9"/>
  <c r="U49" i="9"/>
  <c r="J25" i="9" s="1"/>
  <c r="J23" i="9"/>
  <c r="J21" i="9"/>
  <c r="I33" i="9"/>
  <c r="I31" i="9"/>
  <c r="I28" i="9"/>
  <c r="I25" i="9"/>
  <c r="U48" i="9"/>
  <c r="T48" i="9"/>
  <c r="T46" i="9"/>
  <c r="I23" i="9"/>
  <c r="I21" i="9"/>
  <c r="H31" i="9"/>
  <c r="H30" i="9"/>
  <c r="H28" i="9"/>
  <c r="H27" i="9"/>
  <c r="H25" i="9"/>
  <c r="T47" i="9"/>
  <c r="H24" i="9"/>
  <c r="H23" i="9"/>
  <c r="H21" i="9"/>
  <c r="E13" i="9"/>
  <c r="AG47" i="9"/>
  <c r="L24" i="9" l="1"/>
  <c r="K30" i="9"/>
  <c r="K24" i="9"/>
  <c r="U18" i="11"/>
  <c r="S18" i="11"/>
  <c r="T18" i="11"/>
  <c r="N35" i="11"/>
  <c r="Y16" i="11"/>
  <c r="AC16" i="11" s="1"/>
  <c r="X16" i="11"/>
  <c r="AB16" i="11" s="1"/>
  <c r="P35" i="11"/>
  <c r="P36" i="11" s="1"/>
  <c r="P37" i="11" s="1"/>
  <c r="Q18" i="11"/>
  <c r="E10" i="11"/>
  <c r="R34" i="11" s="1"/>
  <c r="R35" i="11" l="1"/>
  <c r="R36" i="11" s="1"/>
  <c r="R37" i="11" s="1"/>
  <c r="AC20" i="11"/>
  <c r="AC26" i="11"/>
  <c r="AB26" i="11"/>
  <c r="AA26" i="11"/>
  <c r="Z26" i="11"/>
  <c r="Y27" i="11"/>
  <c r="X27" i="11"/>
  <c r="Y26" i="11"/>
  <c r="X26" i="11"/>
  <c r="Y25" i="11"/>
  <c r="X25" i="11"/>
  <c r="Y24" i="11"/>
  <c r="X24" i="11"/>
  <c r="Y23" i="11"/>
  <c r="X23" i="11"/>
  <c r="Y21" i="11"/>
  <c r="Y22" i="11"/>
  <c r="X22" i="11"/>
  <c r="X21" i="11"/>
  <c r="Y20" i="11"/>
  <c r="X20" i="11"/>
  <c r="Z27" i="11"/>
  <c r="AA22" i="11"/>
  <c r="Z22" i="11"/>
  <c r="Q20" i="11"/>
  <c r="E18" i="11"/>
  <c r="AC22" i="11"/>
  <c r="AB21" i="11"/>
  <c r="AB25" i="11"/>
  <c r="H34" i="11"/>
  <c r="V16" i="11"/>
  <c r="AA16" i="11" s="1"/>
  <c r="U16" i="11"/>
  <c r="Z16" i="11" s="1"/>
  <c r="O16" i="11"/>
  <c r="G18" i="11" l="1"/>
  <c r="AB18" i="11" s="1"/>
  <c r="N34" i="9"/>
  <c r="N29" i="9"/>
  <c r="H35" i="11"/>
  <c r="H36" i="11" s="1"/>
  <c r="H37" i="11" s="1"/>
  <c r="D37" i="11"/>
  <c r="D34" i="11"/>
  <c r="AB20" i="11"/>
  <c r="AB22" i="11"/>
  <c r="AA23" i="11"/>
  <c r="R21" i="11"/>
  <c r="U21" i="11"/>
  <c r="Q21" i="11"/>
  <c r="AA24" i="11"/>
  <c r="V26" i="11"/>
  <c r="V22" i="11"/>
  <c r="V21" i="11"/>
  <c r="S20" i="11"/>
  <c r="R20" i="11"/>
  <c r="U20" i="11"/>
  <c r="U23" i="11"/>
  <c r="Q27" i="11"/>
  <c r="S23" i="11"/>
  <c r="T23" i="11"/>
  <c r="S25" i="11"/>
  <c r="T25" i="11"/>
  <c r="U25" i="11"/>
  <c r="V25" i="11"/>
  <c r="AA25" i="11"/>
  <c r="AC25" i="11"/>
  <c r="V20" i="11"/>
  <c r="T24" i="11"/>
  <c r="U24" i="11"/>
  <c r="V23" i="11"/>
  <c r="V24" i="11"/>
  <c r="S22" i="11"/>
  <c r="S21" i="11"/>
  <c r="T22" i="11"/>
  <c r="AB27" i="11"/>
  <c r="T21" i="11"/>
  <c r="U22" i="11"/>
  <c r="AC24" i="11"/>
  <c r="V18" i="11"/>
  <c r="AC23" i="11"/>
  <c r="T27" i="11"/>
  <c r="Q23" i="11"/>
  <c r="Q26" i="11"/>
  <c r="Z20" i="11"/>
  <c r="R23" i="11"/>
  <c r="V27" i="11"/>
  <c r="Q22" i="11"/>
  <c r="R24" i="11"/>
  <c r="S26" i="11"/>
  <c r="R25" i="11"/>
  <c r="R26" i="11"/>
  <c r="R22" i="11"/>
  <c r="S24" i="11"/>
  <c r="T26" i="11"/>
  <c r="AA27" i="11"/>
  <c r="T20" i="11"/>
  <c r="AB24" i="11"/>
  <c r="R18" i="11"/>
  <c r="R27" i="11"/>
  <c r="S27" i="11"/>
  <c r="Q25" i="11"/>
  <c r="Z21" i="11"/>
  <c r="U27" i="11"/>
  <c r="AC21" i="11"/>
  <c r="U26" i="11"/>
  <c r="I34" i="11"/>
  <c r="I35" i="11" s="1"/>
  <c r="I36" i="11" s="1"/>
  <c r="I37" i="11" s="1"/>
  <c r="AC27" i="11"/>
  <c r="Z25" i="11"/>
  <c r="AA20" i="11"/>
  <c r="AA21" i="11"/>
  <c r="Z23" i="11"/>
  <c r="Q24" i="11"/>
  <c r="AB23" i="11"/>
  <c r="Z24" i="11"/>
  <c r="AC18" i="11" l="1"/>
  <c r="O53" i="9"/>
  <c r="O55" i="9" s="1"/>
  <c r="O34" i="9"/>
  <c r="O29" i="9"/>
  <c r="Q30" i="11"/>
  <c r="Q29" i="11"/>
  <c r="V29" i="11"/>
  <c r="AC30" i="11"/>
  <c r="F36" i="11" s="1"/>
  <c r="V36" i="11" s="1"/>
  <c r="Z36" i="11" s="1"/>
  <c r="U29" i="11"/>
  <c r="T29" i="11"/>
  <c r="Z30" i="11"/>
  <c r="S30" i="11"/>
  <c r="R29" i="11"/>
  <c r="X29" i="11"/>
  <c r="Z29" i="11"/>
  <c r="U30" i="11"/>
  <c r="AC29" i="11"/>
  <c r="F35" i="11" s="1"/>
  <c r="V35" i="11" s="1"/>
  <c r="Z35" i="11" s="1"/>
  <c r="F34" i="11"/>
  <c r="X30" i="11"/>
  <c r="T30" i="11"/>
  <c r="S29" i="11"/>
  <c r="R30" i="11"/>
  <c r="V30" i="11"/>
  <c r="F37" i="11"/>
  <c r="V37" i="11" s="1"/>
  <c r="Z37" i="11" s="1"/>
  <c r="L34" i="11"/>
  <c r="T34" i="11" s="1"/>
  <c r="X34" i="11" s="1"/>
  <c r="Y29" i="11"/>
  <c r="D35" i="11" s="1"/>
  <c r="L35" i="11" s="1"/>
  <c r="L37" i="11"/>
  <c r="Y30" i="11"/>
  <c r="D36" i="11" s="1"/>
  <c r="AB30" i="11"/>
  <c r="AB29" i="11"/>
  <c r="E34" i="11"/>
  <c r="M34" i="11" s="1"/>
  <c r="AA29" i="11"/>
  <c r="E35" i="11" s="1"/>
  <c r="M35" i="11" s="1"/>
  <c r="U35" i="11" s="1"/>
  <c r="AA30" i="11"/>
  <c r="E36" i="11" s="1"/>
  <c r="E37" i="11"/>
  <c r="M37" i="11" s="1"/>
  <c r="U37" i="11" s="1"/>
  <c r="U34" i="11" l="1"/>
  <c r="Y34" i="11" s="1"/>
  <c r="M36" i="11"/>
  <c r="L36" i="11"/>
  <c r="T36" i="11" s="1"/>
  <c r="X36" i="11" s="1"/>
  <c r="V34" i="11"/>
  <c r="Z34" i="11" s="1"/>
  <c r="U36" i="11" l="1"/>
  <c r="Y36" i="11" s="1"/>
  <c r="K12" i="9"/>
  <c r="K13" i="9"/>
  <c r="O60" i="9" l="1"/>
  <c r="O59" i="9"/>
  <c r="T30" i="9"/>
  <c r="J30" i="9" l="1"/>
  <c r="K10" i="9"/>
  <c r="I27" i="9"/>
  <c r="I30" i="9"/>
  <c r="O62" i="9"/>
  <c r="J26" i="9"/>
  <c r="I26" i="9"/>
  <c r="H26" i="9"/>
  <c r="T24" i="9"/>
  <c r="K9" i="9" l="1"/>
  <c r="H29" i="9" l="1"/>
  <c r="H32" i="9"/>
  <c r="H34" i="9"/>
  <c r="I24" i="9"/>
  <c r="I34" i="9"/>
  <c r="I32" i="9"/>
  <c r="I29" i="9"/>
  <c r="J34" i="9"/>
  <c r="J24" i="9"/>
  <c r="I22" i="9"/>
  <c r="J22" i="9"/>
  <c r="K19" i="9" l="1"/>
  <c r="L19" i="9" s="1"/>
  <c r="M19" i="9" s="1"/>
  <c r="N19" i="9" s="1"/>
  <c r="O19" i="9" s="1"/>
  <c r="B51" i="9" l="1"/>
  <c r="B53" i="9"/>
  <c r="M24" i="9" l="1"/>
  <c r="M30" i="9"/>
  <c r="N24" i="9"/>
  <c r="O24" i="9"/>
  <c r="N30" i="9"/>
  <c r="O30" i="9"/>
  <c r="O56" i="9"/>
  <c r="X18" i="11"/>
  <c r="Y18" i="11"/>
  <c r="Z18" i="11"/>
  <c r="AA18" i="11"/>
  <c r="T35" i="11"/>
  <c r="X35" i="11" s="1"/>
  <c r="Y35" i="11"/>
  <c r="T37" i="11"/>
  <c r="X37" i="11" s="1"/>
  <c r="Y37" i="11"/>
  <c r="N32" i="9" l="1"/>
  <c r="K34" i="9" l="1"/>
  <c r="K26" i="9" l="1"/>
  <c r="K27" i="9"/>
  <c r="K35" i="9"/>
  <c r="K36" i="9"/>
  <c r="L26" i="9"/>
  <c r="M26" i="9"/>
  <c r="N26" i="9"/>
  <c r="O26" i="9"/>
  <c r="L27" i="9"/>
  <c r="L35" i="9" s="1"/>
  <c r="M27" i="9"/>
  <c r="N27" i="9"/>
  <c r="O27" i="9"/>
  <c r="M35" i="9"/>
  <c r="N35" i="9"/>
  <c r="O35" i="9"/>
  <c r="O41" i="9" l="1"/>
  <c r="O57" i="9"/>
  <c r="O58" i="9" s="1"/>
  <c r="O61" i="9" s="1"/>
  <c r="O63" i="9" s="1"/>
  <c r="E11" i="9" s="1"/>
  <c r="E12" i="9" s="1"/>
  <c r="O39" i="9"/>
  <c r="O40" i="9" s="1"/>
  <c r="O42" i="9" s="1"/>
  <c r="O45" i="9" s="1"/>
  <c r="O47" i="9" s="1"/>
  <c r="C71" i="9" l="1"/>
  <c r="J71" i="9"/>
  <c r="J79" i="9"/>
</calcChain>
</file>

<file path=xl/sharedStrings.xml><?xml version="1.0" encoding="utf-8"?>
<sst xmlns="http://schemas.openxmlformats.org/spreadsheetml/2006/main" count="187" uniqueCount="138">
  <si>
    <t>Company Name</t>
  </si>
  <si>
    <t>Ticker</t>
  </si>
  <si>
    <t>Latest Annual Filing</t>
  </si>
  <si>
    <t>Diluted Shares Outstanding</t>
  </si>
  <si>
    <t>*in $ millions except share price</t>
  </si>
  <si>
    <t>Forecast</t>
  </si>
  <si>
    <t>Revenue</t>
  </si>
  <si>
    <t>Beta</t>
  </si>
  <si>
    <t>Tax Rate</t>
  </si>
  <si>
    <t>WACC</t>
  </si>
  <si>
    <t>Perpetuity Method</t>
  </si>
  <si>
    <t>Growth Rate</t>
  </si>
  <si>
    <t>EV/EBITDA Multiple</t>
  </si>
  <si>
    <t>EV/Sales Multiple</t>
  </si>
  <si>
    <t>Enterprise Value</t>
  </si>
  <si>
    <t>Terminal Value</t>
  </si>
  <si>
    <t>Equity Value</t>
  </si>
  <si>
    <t>Sensitivity Analysis</t>
  </si>
  <si>
    <t>EBITDA</t>
  </si>
  <si>
    <t>Implied Share Price</t>
  </si>
  <si>
    <t>Cash</t>
  </si>
  <si>
    <t>Median</t>
  </si>
  <si>
    <t xml:space="preserve">% of growth </t>
  </si>
  <si>
    <t xml:space="preserve">EBIT </t>
  </si>
  <si>
    <t>%of margin</t>
  </si>
  <si>
    <t xml:space="preserve">Taxes </t>
  </si>
  <si>
    <t>% of sales</t>
  </si>
  <si>
    <t>% of EBIT</t>
  </si>
  <si>
    <t>EBIAT</t>
  </si>
  <si>
    <t>D&amp;A</t>
  </si>
  <si>
    <t>%of sales</t>
  </si>
  <si>
    <t xml:space="preserve">Capex </t>
  </si>
  <si>
    <t>% of Sales</t>
  </si>
  <si>
    <t xml:space="preserve">Change in NWC </t>
  </si>
  <si>
    <t>Present Value Free cash flows to the firm (FCFF)</t>
  </si>
  <si>
    <t>Unlevered Free cash flows to the firm (FCFF)</t>
  </si>
  <si>
    <t>WAAC Calculation</t>
  </si>
  <si>
    <t>Waac = (% Equity  x Cost of Equity) + (% Debt  x  Cost of Debt x (1- tax rate))</t>
  </si>
  <si>
    <t xml:space="preserve">Cost of Equity = Risk Free Rate  + (Beta x (Expected Market Return - Risk Free Rate) </t>
  </si>
  <si>
    <t xml:space="preserve">Debt </t>
  </si>
  <si>
    <t>% Debt</t>
  </si>
  <si>
    <t xml:space="preserve">Cost of Debt </t>
  </si>
  <si>
    <t xml:space="preserve">% Equity </t>
  </si>
  <si>
    <t xml:space="preserve">Cost of Equity </t>
  </si>
  <si>
    <t>Risk Free Rate</t>
  </si>
  <si>
    <t xml:space="preserve">Market Risk Premium </t>
  </si>
  <si>
    <t>WAAC</t>
  </si>
  <si>
    <t>Present Value of Terminal Value</t>
  </si>
  <si>
    <t xml:space="preserve">Cash + </t>
  </si>
  <si>
    <t>Debt -</t>
  </si>
  <si>
    <t>Shares</t>
  </si>
  <si>
    <t xml:space="preserve">Multiple Method </t>
  </si>
  <si>
    <t>PV Forecast FCFs</t>
  </si>
  <si>
    <t>Cash +</t>
  </si>
  <si>
    <t>Terminal Growth Rate</t>
  </si>
  <si>
    <t>* Terminal Growth Rate is used to calculate share price in Perpetuity Method used how much a companies value will increase forever</t>
  </si>
  <si>
    <t>PV of FCFs</t>
  </si>
  <si>
    <t>Current Market Value of Capital</t>
  </si>
  <si>
    <t>*Debt + Equity</t>
  </si>
  <si>
    <t>Discounted Cash Flow For the Year Ended 2021</t>
  </si>
  <si>
    <t>Upside/Downside</t>
  </si>
  <si>
    <t>Share Price in Latest Annual Filing</t>
  </si>
  <si>
    <t xml:space="preserve">Implied Share price </t>
  </si>
  <si>
    <t>Key Valuation Assumptions</t>
  </si>
  <si>
    <t>Risk Free Rate of Return</t>
  </si>
  <si>
    <t>WACC:</t>
  </si>
  <si>
    <t>toggle</t>
  </si>
  <si>
    <t>* Multiple Selection</t>
  </si>
  <si>
    <t>0 = EV/EBITDA (Profitable Companies)</t>
  </si>
  <si>
    <t>1 = EV/Sales (High-Growth / Pre-Profitability Companies)</t>
  </si>
  <si>
    <t>Multiples Method</t>
  </si>
  <si>
    <t>Valuation Model</t>
  </si>
  <si>
    <t xml:space="preserve">Public Trading Comparables </t>
  </si>
  <si>
    <t>Share</t>
  </si>
  <si>
    <t>Net Income</t>
  </si>
  <si>
    <t>Trading Multiples</t>
  </si>
  <si>
    <t>Current</t>
  </si>
  <si>
    <t>Enterprise</t>
  </si>
  <si>
    <t>Market</t>
  </si>
  <si>
    <t>Revenue Growth</t>
  </si>
  <si>
    <t>EBITDA Margin</t>
  </si>
  <si>
    <t>Profit Margin</t>
  </si>
  <si>
    <t>EV / Revenue</t>
  </si>
  <si>
    <t>EV / EBITDA</t>
  </si>
  <si>
    <t>P / E</t>
  </si>
  <si>
    <t>Price</t>
  </si>
  <si>
    <t>Count</t>
  </si>
  <si>
    <t>Value</t>
  </si>
  <si>
    <t>Cap</t>
  </si>
  <si>
    <t>Mean</t>
  </si>
  <si>
    <t>Calculating Implied Share Price</t>
  </si>
  <si>
    <t>P/E</t>
  </si>
  <si>
    <t>EPS</t>
  </si>
  <si>
    <t>Debt</t>
  </si>
  <si>
    <t>Minimum</t>
  </si>
  <si>
    <t>--</t>
  </si>
  <si>
    <t>Maximum</t>
  </si>
  <si>
    <t xml:space="preserve"> </t>
  </si>
  <si>
    <t>'19-'20</t>
  </si>
  <si>
    <t>'20-'21</t>
  </si>
  <si>
    <t>'21</t>
  </si>
  <si>
    <t>'20</t>
  </si>
  <si>
    <t>Implied Share Price Public Comps (Ebitda)</t>
  </si>
  <si>
    <t>*need to plug in EPS for the specific year</t>
  </si>
  <si>
    <t>*Net Income is excluded from Enterprise Value calculations because it is measured after interest expense and belongs only to equity holders.</t>
  </si>
  <si>
    <t>*Cash Debt and Shares all need to be plugged in</t>
  </si>
  <si>
    <t>2021 Trading Multiple</t>
  </si>
  <si>
    <t>2021 Financial Metric</t>
  </si>
  <si>
    <t>*Enterprise Value is converted to Equity Value (EV - Debt + Cash), then divided by diluted shares outstanding to determine the implied share price.</t>
  </si>
  <si>
    <t>Keel Infrastrucure  Corp (KEEL)</t>
  </si>
  <si>
    <t>Effective Tax Rate =</t>
  </si>
  <si>
    <t>Income tax exp / EBIT (Pre-tax income)</t>
  </si>
  <si>
    <t>Taxes Calculation: (Found in Income Stmt)</t>
  </si>
  <si>
    <t>Taxes = Ebit * Tax  Rate</t>
  </si>
  <si>
    <t>Effective Tax Rate</t>
  </si>
  <si>
    <t>Keel</t>
  </si>
  <si>
    <t>Keel Infrastructure (KEEL)</t>
  </si>
  <si>
    <t>Keel Infrastructure</t>
  </si>
  <si>
    <t>Iren</t>
  </si>
  <si>
    <t>IREN</t>
  </si>
  <si>
    <t>APLD</t>
  </si>
  <si>
    <t>CORZ</t>
  </si>
  <si>
    <t>CIFR</t>
  </si>
  <si>
    <t>HUT</t>
  </si>
  <si>
    <t>RIOT</t>
  </si>
  <si>
    <t>CLSK</t>
  </si>
  <si>
    <t>NBIS</t>
  </si>
  <si>
    <t>Nebius Group</t>
  </si>
  <si>
    <t>Riot platforms</t>
  </si>
  <si>
    <t>Hut 8</t>
  </si>
  <si>
    <t xml:space="preserve">Cipher Mining </t>
  </si>
  <si>
    <t>Core Scientific</t>
  </si>
  <si>
    <t>Applied Digital</t>
  </si>
  <si>
    <t xml:space="preserve">Clean Spark </t>
  </si>
  <si>
    <t>Exit Multiple: 10.0x</t>
  </si>
  <si>
    <t>*Factset</t>
  </si>
  <si>
    <t>DCF Value (public comps)</t>
  </si>
  <si>
    <t>Current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</si>
</sst>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&quot;E&quot;"/>
    <numFmt numFmtId="165" formatCode="_([$$-409]* #,##0.00_);_([$$-409]* \(#,##0.00\);_([$$-409]* &quot;-&quot;??_);_(@_)"/>
    <numFmt numFmtId="166" formatCode="_(* #,##0_);_(* \(#,##0\);_(* &quot;-&quot;??_);_(@_)"/>
    <numFmt numFmtId="167" formatCode="0.0%"/>
    <numFmt numFmtId="168" formatCode="##&quot;x  &quot;\ "/>
    <numFmt numFmtId="169" formatCode="0.0\x"/>
    <numFmt numFmtId="170" formatCode="[$$-409]#,##0"/>
    <numFmt numFmtId="171" formatCode="##.0&quot;x  &quot;\ "/>
    <numFmt numFmtId="172" formatCode="_(* #,##0.000_);_(* \(#,##0.000\);_(* &quot;-&quot;??_);_(@_)"/>
    <numFmt numFmtId="173" formatCode="#,##0.0"/>
    <numFmt numFmtId="174" formatCode="0%;\(0%\)"/>
    <numFmt numFmtId="175" formatCode="0.0%;\(0.0%\)"/>
    <numFmt numFmtId="176" formatCode="0.0000"/>
    <numFmt numFmtId="177" formatCode="0.0000000000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rgb="FF0069A6"/>
      <name val="Calibri"/>
      <family val="2"/>
      <scheme val="minor"/>
    </font>
    <font>
      <b/>
      <sz val="11"/>
      <color rgb="FF0069A6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8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0" fontId="3" fillId="0" borderId="0"/>
    <xf numFmtId="170" fontId="8" fillId="0" borderId="0"/>
    <xf numFmtId="0" fontId="12" fillId="0" borderId="0"/>
    <xf numFmtId="44" fontId="1" fillId="0" borderId="0" applyFont="0" applyFill="0" applyBorder="0" applyAlignment="0" applyProtection="0"/>
  </cellStyleXfs>
  <cellXfs count="23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164" fontId="2" fillId="0" borderId="1" xfId="0" applyNumberFormat="1" applyFont="1" applyBorder="1"/>
    <xf numFmtId="0" fontId="0" fillId="3" borderId="0" xfId="0" applyFill="1"/>
    <xf numFmtId="0" fontId="0" fillId="3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0" fillId="4" borderId="0" xfId="0" applyFill="1"/>
    <xf numFmtId="0" fontId="0" fillId="4" borderId="0" xfId="0" applyFill="1" applyAlignment="1">
      <alignment horizontal="left" indent="1"/>
    </xf>
    <xf numFmtId="0" fontId="2" fillId="0" borderId="0" xfId="0" applyFont="1"/>
    <xf numFmtId="164" fontId="2" fillId="0" borderId="0" xfId="0" applyNumberFormat="1" applyFont="1"/>
    <xf numFmtId="0" fontId="2" fillId="6" borderId="0" xfId="0" applyFont="1" applyFill="1"/>
    <xf numFmtId="0" fontId="2" fillId="6" borderId="0" xfId="0" applyFont="1" applyFill="1" applyAlignment="1">
      <alignment horizontal="right"/>
    </xf>
    <xf numFmtId="0" fontId="4" fillId="6" borderId="0" xfId="0" applyFont="1" applyFill="1"/>
    <xf numFmtId="0" fontId="0" fillId="6" borderId="0" xfId="0" applyFill="1"/>
    <xf numFmtId="166" fontId="2" fillId="0" borderId="0" xfId="1" applyNumberFormat="1" applyFont="1" applyFill="1" applyBorder="1"/>
    <xf numFmtId="0" fontId="2" fillId="3" borderId="2" xfId="0" applyFont="1" applyFill="1" applyBorder="1"/>
    <xf numFmtId="0" fontId="0" fillId="3" borderId="2" xfId="0" applyFill="1" applyBorder="1"/>
    <xf numFmtId="166" fontId="2" fillId="3" borderId="2" xfId="1" applyNumberFormat="1" applyFont="1" applyFill="1" applyBorder="1"/>
    <xf numFmtId="0" fontId="7" fillId="5" borderId="0" xfId="0" applyFont="1" applyFill="1"/>
    <xf numFmtId="0" fontId="6" fillId="5" borderId="0" xfId="0" applyFont="1" applyFill="1"/>
    <xf numFmtId="0" fontId="0" fillId="0" borderId="0" xfId="0" applyAlignment="1">
      <alignment wrapText="1"/>
    </xf>
    <xf numFmtId="166" fontId="0" fillId="0" borderId="0" xfId="0" applyNumberFormat="1"/>
    <xf numFmtId="0" fontId="0" fillId="7" borderId="0" xfId="0" applyFill="1"/>
    <xf numFmtId="0" fontId="10" fillId="7" borderId="0" xfId="0" applyFont="1" applyFill="1"/>
    <xf numFmtId="165" fontId="0" fillId="7" borderId="0" xfId="0" applyNumberFormat="1" applyFill="1"/>
    <xf numFmtId="0" fontId="0" fillId="7" borderId="0" xfId="0" applyFill="1" applyAlignment="1">
      <alignment vertical="center" textRotation="90"/>
    </xf>
    <xf numFmtId="167" fontId="0" fillId="7" borderId="0" xfId="0" applyNumberFormat="1" applyFill="1"/>
    <xf numFmtId="0" fontId="0" fillId="7" borderId="0" xfId="0" applyFill="1" applyAlignment="1">
      <alignment vertical="center" textRotation="90" wrapText="1"/>
    </xf>
    <xf numFmtId="167" fontId="0" fillId="0" borderId="0" xfId="0" applyNumberFormat="1"/>
    <xf numFmtId="167" fontId="2" fillId="6" borderId="0" xfId="0" applyNumberFormat="1" applyFont="1" applyFill="1"/>
    <xf numFmtId="167" fontId="4" fillId="6" borderId="0" xfId="0" applyNumberFormat="1" applyFont="1" applyFill="1"/>
    <xf numFmtId="167" fontId="0" fillId="0" borderId="1" xfId="0" applyNumberFormat="1" applyBorder="1"/>
    <xf numFmtId="167" fontId="0" fillId="3" borderId="0" xfId="0" applyNumberFormat="1" applyFill="1" applyAlignment="1">
      <alignment horizontal="left" indent="1"/>
    </xf>
    <xf numFmtId="167" fontId="7" fillId="5" borderId="0" xfId="0" applyNumberFormat="1" applyFont="1" applyFill="1"/>
    <xf numFmtId="167" fontId="2" fillId="3" borderId="2" xfId="0" applyNumberFormat="1" applyFont="1" applyFill="1" applyBorder="1"/>
    <xf numFmtId="167" fontId="2" fillId="0" borderId="0" xfId="0" applyNumberFormat="1" applyFont="1"/>
    <xf numFmtId="167" fontId="0" fillId="4" borderId="0" xfId="0" applyNumberFormat="1" applyFill="1"/>
    <xf numFmtId="0" fontId="2" fillId="7" borderId="0" xfId="0" applyFont="1" applyFill="1" applyAlignment="1">
      <alignment horizontal="centerContinuous"/>
    </xf>
    <xf numFmtId="0" fontId="10" fillId="7" borderId="0" xfId="0" applyFont="1" applyFill="1" applyAlignment="1">
      <alignment horizontal="centerContinuous"/>
    </xf>
    <xf numFmtId="167" fontId="0" fillId="7" borderId="1" xfId="0" applyNumberFormat="1" applyFill="1" applyBorder="1"/>
    <xf numFmtId="165" fontId="2" fillId="4" borderId="4" xfId="0" applyNumberFormat="1" applyFont="1" applyFill="1" applyBorder="1"/>
    <xf numFmtId="167" fontId="0" fillId="7" borderId="3" xfId="0" applyNumberFormat="1" applyFill="1" applyBorder="1"/>
    <xf numFmtId="168" fontId="0" fillId="7" borderId="3" xfId="0" applyNumberFormat="1" applyFill="1" applyBorder="1"/>
    <xf numFmtId="165" fontId="0" fillId="7" borderId="0" xfId="1" applyNumberFormat="1" applyFont="1" applyFill="1" applyBorder="1"/>
    <xf numFmtId="165" fontId="0" fillId="7" borderId="0" xfId="1" applyNumberFormat="1" applyFont="1" applyFill="1"/>
    <xf numFmtId="171" fontId="0" fillId="7" borderId="3" xfId="0" applyNumberFormat="1" applyFill="1" applyBorder="1"/>
    <xf numFmtId="0" fontId="0" fillId="9" borderId="0" xfId="0" applyFill="1"/>
    <xf numFmtId="166" fontId="5" fillId="9" borderId="0" xfId="1" applyNumberFormat="1" applyFont="1" applyFill="1"/>
    <xf numFmtId="0" fontId="0" fillId="0" borderId="5" xfId="0" applyBorder="1"/>
    <xf numFmtId="167" fontId="0" fillId="3" borderId="0" xfId="2" applyNumberFormat="1" applyFont="1" applyFill="1"/>
    <xf numFmtId="0" fontId="11" fillId="3" borderId="0" xfId="0" applyFont="1" applyFill="1"/>
    <xf numFmtId="10" fontId="11" fillId="3" borderId="0" xfId="2" applyNumberFormat="1" applyFont="1" applyFill="1" applyBorder="1"/>
    <xf numFmtId="167" fontId="11" fillId="3" borderId="0" xfId="2" applyNumberFormat="1" applyFont="1" applyFill="1"/>
    <xf numFmtId="167" fontId="11" fillId="3" borderId="0" xfId="2" applyNumberFormat="1" applyFont="1" applyFill="1" applyBorder="1"/>
    <xf numFmtId="167" fontId="14" fillId="3" borderId="0" xfId="2" applyNumberFormat="1" applyFont="1" applyFill="1" applyBorder="1"/>
    <xf numFmtId="43" fontId="14" fillId="5" borderId="0" xfId="1" applyFont="1" applyFill="1" applyBorder="1" applyAlignment="1"/>
    <xf numFmtId="43" fontId="1" fillId="3" borderId="2" xfId="1" applyFont="1" applyFill="1" applyBorder="1"/>
    <xf numFmtId="0" fontId="0" fillId="0" borderId="0" xfId="0" applyAlignment="1">
      <alignment horizontal="center"/>
    </xf>
    <xf numFmtId="0" fontId="0" fillId="10" borderId="0" xfId="0" applyFill="1" applyAlignment="1">
      <alignment horizontal="center" vertical="center"/>
    </xf>
    <xf numFmtId="167" fontId="0" fillId="10" borderId="0" xfId="2" applyNumberFormat="1" applyFont="1" applyFill="1" applyAlignment="1">
      <alignment horizontal="center" vertical="center"/>
    </xf>
    <xf numFmtId="10" fontId="0" fillId="10" borderId="0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10" borderId="0" xfId="0" applyNumberFormat="1" applyFill="1" applyAlignment="1">
      <alignment horizontal="center" vertical="center"/>
    </xf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167" fontId="2" fillId="9" borderId="0" xfId="0" applyNumberFormat="1" applyFont="1" applyFill="1"/>
    <xf numFmtId="0" fontId="0" fillId="12" borderId="0" xfId="0" applyFill="1"/>
    <xf numFmtId="167" fontId="0" fillId="10" borderId="0" xfId="2" applyNumberFormat="1" applyFont="1" applyFill="1" applyBorder="1" applyAlignment="1">
      <alignment horizontal="center" vertical="center"/>
    </xf>
    <xf numFmtId="10" fontId="0" fillId="10" borderId="0" xfId="2" applyNumberFormat="1" applyFont="1" applyFill="1" applyBorder="1" applyAlignment="1">
      <alignment horizontal="center" vertical="center"/>
    </xf>
    <xf numFmtId="9" fontId="0" fillId="10" borderId="0" xfId="2" applyFont="1" applyFill="1" applyBorder="1" applyAlignment="1">
      <alignment horizontal="center" vertical="center"/>
    </xf>
    <xf numFmtId="0" fontId="0" fillId="0" borderId="7" xfId="0" applyBorder="1"/>
    <xf numFmtId="0" fontId="0" fillId="12" borderId="0" xfId="0" applyFill="1" applyAlignment="1">
      <alignment horizontal="left" indent="1"/>
    </xf>
    <xf numFmtId="0" fontId="0" fillId="12" borderId="11" xfId="0" applyFill="1" applyBorder="1"/>
    <xf numFmtId="0" fontId="0" fillId="12" borderId="12" xfId="0" applyFill="1" applyBorder="1"/>
    <xf numFmtId="167" fontId="0" fillId="0" borderId="5" xfId="0" applyNumberFormat="1" applyBorder="1"/>
    <xf numFmtId="0" fontId="2" fillId="0" borderId="7" xfId="0" applyFont="1" applyBorder="1"/>
    <xf numFmtId="3" fontId="0" fillId="10" borderId="13" xfId="0" applyNumberFormat="1" applyFill="1" applyBorder="1" applyAlignment="1">
      <alignment horizontal="center" vertical="center"/>
    </xf>
    <xf numFmtId="173" fontId="0" fillId="10" borderId="0" xfId="0" applyNumberFormat="1" applyFill="1" applyAlignment="1">
      <alignment horizontal="center"/>
    </xf>
    <xf numFmtId="0" fontId="2" fillId="6" borderId="5" xfId="0" applyFont="1" applyFill="1" applyBorder="1"/>
    <xf numFmtId="167" fontId="0" fillId="6" borderId="5" xfId="0" applyNumberFormat="1" applyFill="1" applyBorder="1"/>
    <xf numFmtId="0" fontId="0" fillId="6" borderId="5" xfId="0" applyFill="1" applyBorder="1"/>
    <xf numFmtId="43" fontId="11" fillId="0" borderId="0" xfId="0" applyNumberFormat="1" applyFont="1"/>
    <xf numFmtId="0" fontId="0" fillId="8" borderId="11" xfId="0" applyFill="1" applyBorder="1"/>
    <xf numFmtId="0" fontId="0" fillId="8" borderId="12" xfId="0" applyFill="1" applyBorder="1"/>
    <xf numFmtId="0" fontId="2" fillId="12" borderId="6" xfId="0" applyFont="1" applyFill="1" applyBorder="1"/>
    <xf numFmtId="0" fontId="2" fillId="12" borderId="7" xfId="0" applyFont="1" applyFill="1" applyBorder="1"/>
    <xf numFmtId="10" fontId="2" fillId="10" borderId="14" xfId="2" applyNumberFormat="1" applyFont="1" applyFill="1" applyBorder="1" applyAlignment="1">
      <alignment horizontal="center" vertical="center"/>
    </xf>
    <xf numFmtId="0" fontId="11" fillId="9" borderId="0" xfId="0" applyFont="1" applyFill="1"/>
    <xf numFmtId="0" fontId="0" fillId="9" borderId="0" xfId="0" applyFill="1" applyAlignment="1">
      <alignment horizontal="left"/>
    </xf>
    <xf numFmtId="10" fontId="0" fillId="9" borderId="0" xfId="0" applyNumberFormat="1" applyFill="1" applyAlignment="1">
      <alignment horizontal="left"/>
    </xf>
    <xf numFmtId="0" fontId="0" fillId="6" borderId="0" xfId="0" applyFill="1" applyAlignment="1">
      <alignment horizontal="left" indent="1"/>
    </xf>
    <xf numFmtId="167" fontId="0" fillId="6" borderId="0" xfId="0" applyNumberFormat="1" applyFill="1"/>
    <xf numFmtId="0" fontId="0" fillId="9" borderId="0" xfId="0" applyFill="1" applyAlignment="1">
      <alignment horizontal="left" indent="1"/>
    </xf>
    <xf numFmtId="0" fontId="2" fillId="3" borderId="11" xfId="0" applyFont="1" applyFill="1" applyBorder="1"/>
    <xf numFmtId="167" fontId="2" fillId="3" borderId="12" xfId="0" applyNumberFormat="1" applyFont="1" applyFill="1" applyBorder="1"/>
    <xf numFmtId="0" fontId="2" fillId="3" borderId="12" xfId="0" applyFont="1" applyFill="1" applyBorder="1"/>
    <xf numFmtId="0" fontId="2" fillId="3" borderId="0" xfId="0" applyFont="1" applyFill="1" applyAlignment="1">
      <alignment horizontal="left"/>
    </xf>
    <xf numFmtId="167" fontId="0" fillId="10" borderId="13" xfId="0" applyNumberFormat="1" applyFill="1" applyBorder="1" applyAlignment="1">
      <alignment horizontal="center"/>
    </xf>
    <xf numFmtId="0" fontId="0" fillId="12" borderId="7" xfId="0" applyFill="1" applyBorder="1" applyAlignment="1">
      <alignment horizontal="left" indent="1"/>
    </xf>
    <xf numFmtId="0" fontId="0" fillId="12" borderId="7" xfId="0" applyFill="1" applyBorder="1"/>
    <xf numFmtId="44" fontId="0" fillId="6" borderId="0" xfId="8" applyFont="1" applyFill="1" applyAlignment="1">
      <alignment horizontal="center"/>
    </xf>
    <xf numFmtId="15" fontId="0" fillId="6" borderId="0" xfId="0" applyNumberFormat="1" applyFill="1" applyAlignment="1">
      <alignment horizontal="center"/>
    </xf>
    <xf numFmtId="0" fontId="2" fillId="6" borderId="0" xfId="0" applyFont="1" applyFill="1" applyAlignment="1">
      <alignment horizontal="left" indent="1"/>
    </xf>
    <xf numFmtId="172" fontId="1" fillId="6" borderId="0" xfId="1" applyNumberFormat="1" applyFont="1" applyFill="1" applyAlignment="1">
      <alignment horizontal="center"/>
    </xf>
    <xf numFmtId="44" fontId="0" fillId="6" borderId="0" xfId="8" applyFont="1" applyFill="1" applyBorder="1" applyAlignment="1"/>
    <xf numFmtId="10" fontId="2" fillId="6" borderId="0" xfId="2" applyNumberFormat="1" applyFont="1" applyFill="1" applyBorder="1" applyAlignment="1"/>
    <xf numFmtId="0" fontId="17" fillId="0" borderId="0" xfId="0" applyFont="1" applyAlignment="1">
      <alignment horizontal="center"/>
    </xf>
    <xf numFmtId="0" fontId="2" fillId="11" borderId="7" xfId="0" applyFont="1" applyFill="1" applyBorder="1"/>
    <xf numFmtId="0" fontId="0" fillId="11" borderId="7" xfId="0" applyFill="1" applyBorder="1"/>
    <xf numFmtId="43" fontId="11" fillId="11" borderId="7" xfId="0" applyNumberFormat="1" applyFont="1" applyFill="1" applyBorder="1"/>
    <xf numFmtId="43" fontId="2" fillId="11" borderId="0" xfId="0" applyNumberFormat="1" applyFont="1" applyFill="1"/>
    <xf numFmtId="10" fontId="0" fillId="4" borderId="0" xfId="0" applyNumberFormat="1" applyFill="1"/>
    <xf numFmtId="43" fontId="0" fillId="4" borderId="0" xfId="0" applyNumberFormat="1" applyFill="1"/>
    <xf numFmtId="167" fontId="0" fillId="4" borderId="0" xfId="2" applyNumberFormat="1" applyFont="1" applyFill="1"/>
    <xf numFmtId="0" fontId="0" fillId="4" borderId="0" xfId="0" applyFill="1" applyAlignment="1">
      <alignment horizontal="left"/>
    </xf>
    <xf numFmtId="14" fontId="0" fillId="6" borderId="0" xfId="0" applyNumberFormat="1" applyFill="1" applyAlignment="1">
      <alignment horizontal="center"/>
    </xf>
    <xf numFmtId="164" fontId="0" fillId="0" borderId="5" xfId="0" applyNumberFormat="1" applyBorder="1"/>
    <xf numFmtId="164" fontId="0" fillId="0" borderId="0" xfId="0" applyNumberFormat="1"/>
    <xf numFmtId="168" fontId="0" fillId="0" borderId="0" xfId="0" applyNumberFormat="1"/>
    <xf numFmtId="165" fontId="2" fillId="2" borderId="4" xfId="0" applyNumberFormat="1" applyFont="1" applyFill="1" applyBorder="1"/>
    <xf numFmtId="167" fontId="0" fillId="2" borderId="3" xfId="0" applyNumberFormat="1" applyFill="1" applyBorder="1"/>
    <xf numFmtId="165" fontId="0" fillId="2" borderId="0" xfId="0" applyNumberFormat="1" applyFill="1"/>
    <xf numFmtId="168" fontId="0" fillId="2" borderId="3" xfId="0" applyNumberFormat="1" applyFill="1" applyBorder="1"/>
    <xf numFmtId="165" fontId="0" fillId="2" borderId="0" xfId="1" applyNumberFormat="1" applyFont="1" applyFill="1" applyBorder="1"/>
    <xf numFmtId="165" fontId="0" fillId="2" borderId="0" xfId="1" applyNumberFormat="1" applyFont="1" applyFill="1"/>
    <xf numFmtId="171" fontId="0" fillId="2" borderId="3" xfId="0" applyNumberFormat="1" applyFill="1" applyBorder="1"/>
    <xf numFmtId="0" fontId="4" fillId="9" borderId="0" xfId="0" applyFont="1" applyFill="1"/>
    <xf numFmtId="0" fontId="9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Continuous" vertical="center"/>
    </xf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0" fillId="0" borderId="12" xfId="0" applyBorder="1"/>
    <xf numFmtId="3" fontId="0" fillId="0" borderId="12" xfId="0" applyNumberFormat="1" applyBorder="1" applyAlignment="1">
      <alignment horizontal="center" vertical="center"/>
    </xf>
    <xf numFmtId="174" fontId="0" fillId="0" borderId="12" xfId="2" applyNumberFormat="1" applyFont="1" applyBorder="1" applyAlignment="1">
      <alignment horizontal="center"/>
    </xf>
    <xf numFmtId="169" fontId="0" fillId="0" borderId="12" xfId="0" applyNumberFormat="1" applyBorder="1" applyAlignment="1">
      <alignment horizontal="center"/>
    </xf>
    <xf numFmtId="0" fontId="20" fillId="0" borderId="0" xfId="0" applyFont="1"/>
    <xf numFmtId="3" fontId="0" fillId="0" borderId="0" xfId="0" applyNumberFormat="1" applyAlignment="1">
      <alignment horizontal="center" vertical="center"/>
    </xf>
    <xf numFmtId="174" fontId="0" fillId="0" borderId="0" xfId="2" applyNumberFormat="1" applyFont="1" applyBorder="1" applyAlignment="1">
      <alignment horizontal="center"/>
    </xf>
    <xf numFmtId="169" fontId="0" fillId="0" borderId="0" xfId="0" applyNumberFormat="1" applyAlignment="1">
      <alignment horizontal="center"/>
    </xf>
    <xf numFmtId="174" fontId="0" fillId="0" borderId="0" xfId="2" applyNumberFormat="1" applyFont="1" applyAlignment="1">
      <alignment horizontal="center"/>
    </xf>
    <xf numFmtId="0" fontId="9" fillId="6" borderId="6" xfId="0" applyFont="1" applyFill="1" applyBorder="1"/>
    <xf numFmtId="0" fontId="0" fillId="6" borderId="7" xfId="0" applyFill="1" applyBorder="1"/>
    <xf numFmtId="174" fontId="9" fillId="6" borderId="7" xfId="0" applyNumberFormat="1" applyFont="1" applyFill="1" applyBorder="1" applyAlignment="1">
      <alignment horizontal="center"/>
    </xf>
    <xf numFmtId="169" fontId="9" fillId="6" borderId="7" xfId="0" applyNumberFormat="1" applyFont="1" applyFill="1" applyBorder="1" applyAlignment="1">
      <alignment horizontal="center"/>
    </xf>
    <xf numFmtId="169" fontId="9" fillId="6" borderId="14" xfId="0" applyNumberFormat="1" applyFont="1" applyFill="1" applyBorder="1" applyAlignment="1">
      <alignment horizontal="center"/>
    </xf>
    <xf numFmtId="0" fontId="9" fillId="6" borderId="9" xfId="0" applyFont="1" applyFill="1" applyBorder="1"/>
    <xf numFmtId="174" fontId="9" fillId="6" borderId="5" xfId="0" applyNumberFormat="1" applyFont="1" applyFill="1" applyBorder="1" applyAlignment="1">
      <alignment horizontal="center"/>
    </xf>
    <xf numFmtId="169" fontId="9" fillId="6" borderId="5" xfId="0" applyNumberFormat="1" applyFont="1" applyFill="1" applyBorder="1" applyAlignment="1">
      <alignment horizontal="center"/>
    </xf>
    <xf numFmtId="169" fontId="9" fillId="6" borderId="10" xfId="0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0" fillId="0" borderId="0" xfId="0" applyNumberFormat="1"/>
    <xf numFmtId="3" fontId="0" fillId="0" borderId="0" xfId="0" quotePrefix="1" applyNumberFormat="1" applyAlignment="1">
      <alignment horizontal="center" vertical="center"/>
    </xf>
    <xf numFmtId="165" fontId="0" fillId="0" borderId="0" xfId="0" quotePrefix="1" applyNumberFormat="1" applyAlignment="1">
      <alignment vertical="center"/>
    </xf>
    <xf numFmtId="3" fontId="0" fillId="0" borderId="0" xfId="0" applyNumberFormat="1" applyAlignment="1">
      <alignment horizontal="center"/>
    </xf>
    <xf numFmtId="0" fontId="0" fillId="9" borderId="0" xfId="0" applyFill="1" applyAlignment="1">
      <alignment horizontal="left" indent="2"/>
    </xf>
    <xf numFmtId="166" fontId="0" fillId="9" borderId="0" xfId="0" applyNumberFormat="1" applyFill="1"/>
    <xf numFmtId="166" fontId="0" fillId="9" borderId="0" xfId="1" applyNumberFormat="1" applyFont="1" applyFill="1"/>
    <xf numFmtId="165" fontId="2" fillId="9" borderId="0" xfId="0" applyNumberFormat="1" applyFont="1" applyFill="1"/>
    <xf numFmtId="0" fontId="21" fillId="0" borderId="11" xfId="0" applyFont="1" applyBorder="1"/>
    <xf numFmtId="0" fontId="21" fillId="0" borderId="0" xfId="0" applyFont="1"/>
    <xf numFmtId="0" fontId="8" fillId="2" borderId="0" xfId="0" applyFont="1" applyFill="1" applyAlignment="1">
      <alignment vertical="center"/>
    </xf>
    <xf numFmtId="44" fontId="0" fillId="0" borderId="12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166" fontId="1" fillId="6" borderId="0" xfId="1" applyNumberFormat="1" applyFont="1" applyFill="1" applyAlignment="1">
      <alignment horizontal="center"/>
    </xf>
    <xf numFmtId="166" fontId="11" fillId="0" borderId="0" xfId="0" applyNumberFormat="1" applyFont="1"/>
    <xf numFmtId="0" fontId="0" fillId="0" borderId="0" xfId="0" applyAlignment="1">
      <alignment vertical="center" wrapText="1"/>
    </xf>
    <xf numFmtId="175" fontId="9" fillId="6" borderId="7" xfId="0" applyNumberFormat="1" applyFont="1" applyFill="1" applyBorder="1" applyAlignment="1">
      <alignment horizontal="center"/>
    </xf>
    <xf numFmtId="175" fontId="9" fillId="6" borderId="5" xfId="0" applyNumberFormat="1" applyFont="1" applyFill="1" applyBorder="1" applyAlignment="1">
      <alignment horizontal="center"/>
    </xf>
    <xf numFmtId="3" fontId="11" fillId="3" borderId="0" xfId="8" applyNumberFormat="1" applyFont="1" applyFill="1"/>
    <xf numFmtId="3" fontId="14" fillId="3" borderId="0" xfId="8" applyNumberFormat="1" applyFont="1" applyFill="1"/>
    <xf numFmtId="37" fontId="13" fillId="5" borderId="0" xfId="8" applyNumberFormat="1" applyFont="1" applyFill="1" applyBorder="1" applyAlignment="1"/>
    <xf numFmtId="37" fontId="15" fillId="5" borderId="0" xfId="8" applyNumberFormat="1" applyFont="1" applyFill="1" applyBorder="1" applyAlignment="1"/>
    <xf numFmtId="3" fontId="11" fillId="5" borderId="0" xfId="8" applyNumberFormat="1" applyFont="1" applyFill="1" applyBorder="1" applyAlignment="1"/>
    <xf numFmtId="3" fontId="14" fillId="5" borderId="0" xfId="1" applyNumberFormat="1" applyFont="1" applyFill="1" applyBorder="1" applyAlignment="1"/>
    <xf numFmtId="166" fontId="2" fillId="3" borderId="12" xfId="0" applyNumberFormat="1" applyFont="1" applyFill="1" applyBorder="1"/>
    <xf numFmtId="166" fontId="16" fillId="3" borderId="12" xfId="0" applyNumberFormat="1" applyFont="1" applyFill="1" applyBorder="1"/>
    <xf numFmtId="166" fontId="0" fillId="3" borderId="0" xfId="0" applyNumberFormat="1" applyFill="1"/>
    <xf numFmtId="166" fontId="14" fillId="5" borderId="0" xfId="1" applyNumberFormat="1" applyFont="1" applyFill="1" applyBorder="1" applyAlignment="1"/>
    <xf numFmtId="166" fontId="1" fillId="3" borderId="0" xfId="1" applyNumberFormat="1" applyFont="1" applyFill="1"/>
    <xf numFmtId="166" fontId="0" fillId="0" borderId="5" xfId="0" applyNumberFormat="1" applyBorder="1"/>
    <xf numFmtId="166" fontId="2" fillId="0" borderId="0" xfId="0" applyNumberFormat="1" applyFont="1"/>
    <xf numFmtId="3" fontId="0" fillId="10" borderId="0" xfId="0" applyNumberFormat="1" applyFill="1" applyAlignment="1">
      <alignment horizontal="center"/>
    </xf>
    <xf numFmtId="3" fontId="0" fillId="10" borderId="7" xfId="0" applyNumberFormat="1" applyFill="1" applyBorder="1" applyAlignment="1">
      <alignment horizontal="center" vertical="center"/>
    </xf>
    <xf numFmtId="37" fontId="11" fillId="0" borderId="0" xfId="0" applyNumberFormat="1" applyFont="1"/>
    <xf numFmtId="37" fontId="11" fillId="0" borderId="5" xfId="0" applyNumberFormat="1" applyFont="1" applyBorder="1"/>
    <xf numFmtId="37" fontId="0" fillId="0" borderId="5" xfId="0" applyNumberFormat="1" applyBorder="1"/>
    <xf numFmtId="166" fontId="13" fillId="0" borderId="7" xfId="0" applyNumberFormat="1" applyFont="1" applyBorder="1"/>
    <xf numFmtId="166" fontId="11" fillId="0" borderId="7" xfId="0" applyNumberFormat="1" applyFont="1" applyBorder="1"/>
    <xf numFmtId="169" fontId="0" fillId="0" borderId="13" xfId="0" applyNumberFormat="1" applyBorder="1" applyAlignment="1">
      <alignment horizontal="center"/>
    </xf>
    <xf numFmtId="3" fontId="0" fillId="0" borderId="0" xfId="0" applyNumberFormat="1" applyAlignment="1">
      <alignment horizontal="center" vertical="center" wrapText="1"/>
    </xf>
    <xf numFmtId="3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 vertical="center" wrapText="1"/>
    </xf>
    <xf numFmtId="3" fontId="20" fillId="0" borderId="0" xfId="0" quotePrefix="1" applyNumberFormat="1" applyFont="1" applyAlignment="1">
      <alignment horizontal="center" vertical="center"/>
    </xf>
    <xf numFmtId="0" fontId="22" fillId="0" borderId="0" xfId="0" applyFont="1"/>
    <xf numFmtId="171" fontId="0" fillId="0" borderId="0" xfId="0" applyNumberFormat="1"/>
    <xf numFmtId="43" fontId="1" fillId="6" borderId="0" xfId="1" applyFont="1" applyFill="1" applyAlignment="1">
      <alignment horizontal="center"/>
    </xf>
    <xf numFmtId="4" fontId="11" fillId="3" borderId="0" xfId="8" applyNumberFormat="1" applyFont="1" applyFill="1"/>
    <xf numFmtId="4" fontId="11" fillId="3" borderId="0" xfId="2" applyNumberFormat="1" applyFont="1" applyFill="1" applyBorder="1"/>
    <xf numFmtId="4" fontId="13" fillId="5" borderId="0" xfId="8" applyNumberFormat="1" applyFont="1" applyFill="1" applyBorder="1" applyAlignment="1"/>
    <xf numFmtId="0" fontId="0" fillId="8" borderId="0" xfId="0" applyFill="1"/>
    <xf numFmtId="167" fontId="2" fillId="8" borderId="0" xfId="0" applyNumberFormat="1" applyFont="1" applyFill="1"/>
    <xf numFmtId="0" fontId="0" fillId="13" borderId="11" xfId="0" applyFill="1" applyBorder="1"/>
    <xf numFmtId="0" fontId="0" fillId="13" borderId="12" xfId="0" applyFill="1" applyBorder="1"/>
    <xf numFmtId="0" fontId="0" fillId="13" borderId="13" xfId="0" applyFill="1" applyBorder="1"/>
    <xf numFmtId="43" fontId="2" fillId="3" borderId="12" xfId="0" applyNumberFormat="1" applyFont="1" applyFill="1" applyBorder="1"/>
    <xf numFmtId="176" fontId="0" fillId="0" borderId="0" xfId="0" applyNumberFormat="1"/>
    <xf numFmtId="177" fontId="0" fillId="0" borderId="0" xfId="0" applyNumberFormat="1"/>
    <xf numFmtId="4" fontId="11" fillId="5" borderId="0" xfId="8" applyNumberFormat="1" applyFont="1" applyFill="1" applyBorder="1" applyAlignment="1"/>
    <xf numFmtId="4" fontId="2" fillId="3" borderId="12" xfId="0" applyNumberFormat="1" applyFont="1" applyFill="1" applyBorder="1"/>
    <xf numFmtId="10" fontId="11" fillId="3" borderId="0" xfId="2" applyNumberFormat="1" applyFont="1" applyFill="1"/>
    <xf numFmtId="39" fontId="13" fillId="5" borderId="0" xfId="8" applyNumberFormat="1" applyFont="1" applyFill="1" applyBorder="1" applyAlignment="1"/>
    <xf numFmtId="43" fontId="11" fillId="5" borderId="0" xfId="1" applyFont="1" applyFill="1" applyBorder="1" applyAlignment="1"/>
    <xf numFmtId="4" fontId="14" fillId="3" borderId="0" xfId="8" applyNumberFormat="1" applyFont="1" applyFill="1"/>
    <xf numFmtId="9" fontId="11" fillId="3" borderId="0" xfId="2" applyFont="1" applyFill="1"/>
    <xf numFmtId="0" fontId="2" fillId="7" borderId="0" xfId="0" applyFont="1" applyFill="1" applyAlignment="1">
      <alignment horizontal="right" vertical="center" textRotation="90"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 wrapText="1"/>
    </xf>
    <xf numFmtId="44" fontId="0" fillId="6" borderId="0" xfId="8" applyFont="1" applyFill="1"/>
  </cellXfs>
  <cellStyles count="9">
    <cellStyle name="Comma" xfId="1" builtinId="3"/>
    <cellStyle name="Currency" xfId="8" builtinId="4"/>
    <cellStyle name="Normal" xfId="0" builtinId="0"/>
    <cellStyle name="Normal 10" xfId="3" xr:uid="{A53289DD-9BD8-405D-AEC6-2FE2EC2549B5}"/>
    <cellStyle name="Normal 10 2" xfId="5" xr:uid="{84C400C1-2D21-4371-9CCA-CB72BE4B872E}"/>
    <cellStyle name="Normal 2" xfId="7" xr:uid="{1695B2B9-B0E4-4358-82F8-C07CF5FD9F36}"/>
    <cellStyle name="Normal 3" xfId="6" xr:uid="{2922427A-CA08-4B19-B15D-75D66E768ED4}"/>
    <cellStyle name="Percent" xfId="2" builtinId="5"/>
    <cellStyle name="Percent 2" xfId="4" xr:uid="{BE44FCCB-DFDD-4E40-88D3-6D94459EE651}"/>
  </cellStyles>
  <dxfs count="2">
    <dxf>
      <font>
        <color theme="5" tint="0.79998168889431442"/>
      </font>
    </dxf>
    <dxf>
      <font>
        <color theme="5" tint="0.79998168889431442"/>
      </font>
    </dxf>
  </dxfs>
  <tableStyles count="0" defaultTableStyle="TableStyleMedium2" defaultPivotStyle="PivotStyleLight16"/>
  <colors>
    <mruColors>
      <color rgb="FFF5E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ZKFIOYA/AppData/Local/Microsoft/Windows/Temporary%20Internet%20Files/Content.Outlook/VPKHRR0B/NIBC%202014%20-%20Lions%20Gate%20DCF%20v19%20-%2011%20Oct%202013.xlsm" TargetMode="External"/><Relationship Id="rId1" Type="http://schemas.openxmlformats.org/officeDocument/2006/relationships/externalLinkPath" Target="/Users/ZKFIOYA/AppData/Local/Microsoft/Windows/Temporary%20Internet%20Files/Content.Outlook/VPKHRR0B/NIBC%202014%20-%20Lions%20Gate%20DCF%20v19%20-%2011%20Oct%20201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chua1/AppData/Local/WorkSite/NRPortbl/CFFP_Vancouver/PCHUA1/834399_1.xlsx" TargetMode="External"/><Relationship Id="rId1" Type="http://schemas.openxmlformats.org/officeDocument/2006/relationships/externalLinkPath" Target="/Users/pchua1/AppData/Local/WorkSite/NRPortbl/CFFP_Vancouver/PCHUA1/834399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piexchange-my.sharepoint.com/personal/khoo_rpi_edu/Documents/Documents/Rensselaer%20Finance%20Club/NIBC/2024-2025/RFC%20-%20Final%20Round%20Team/Gleaned/WSP%20Amazon%20Valuation%20Model_v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piexchange-my.sharepoint.com/personal/khoo_rpi_edu/Documents/Documents/Rensselaer%20Finance%20Club/NIBC/2024-2025/RFC%20-%20Final%20Round%20Team/Pitch%20Charts%20and%20Graphics.xlsx" TargetMode="External"/><Relationship Id="rId1" Type="http://schemas.openxmlformats.org/officeDocument/2006/relationships/externalLinkPath" Target="https://rpiexchange-my.sharepoint.com/personal/khoo_rpi_edu/Documents/Documents/Rensselaer%20Finance%20Club/NIBC/2024-2025/RFC%20-%20Final%20Round%20Team/Pitch%20Charts%20and%20Graphics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hris/Dropbox/NIBC%202015/1)%20First%20Round%20Case/6)%20Case%20Solution/Charts/NIBC%202015%20-%20First%20Round%20Case%20Solution%20v19%20-%2017%20Aug%202014.xlsm" TargetMode="External"/><Relationship Id="rId1" Type="http://schemas.openxmlformats.org/officeDocument/2006/relationships/externalLinkPath" Target="/Users/Chris/Dropbox/NIBC%202015/1)%20First%20Round%20Case/6)%20Case%20Solution/Charts/NIBC%202015%20-%20First%20Round%20Case%20Solution%20v19%20-%2017%20Aug%202014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/Users/pchua1/AppData/Roaming/Microsoft/Excel/NIBC%202013%20-%20Wynn%20-%20LBO%20Build%20-%2011%20Nov%202012%20-%20015am%20(PC%20Edits).xlsx" TargetMode="External"/><Relationship Id="rId1" Type="http://schemas.openxmlformats.org/officeDocument/2006/relationships/externalLinkPath" Target="/E/Users/pchua1/AppData/Roaming/Microsoft/Excel/NIBC%202013%20-%20Wynn%20-%20LBO%20Build%20-%2011%20Nov%202012%20-%20015am%20(PC%20Edit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GF Assumptions"/>
      <sheetName val="LGF Financial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__FDSCACHE__"/>
      <sheetName val="Sheet1"/>
      <sheetName val="Price Graph"/>
      <sheetName val="Data"/>
      <sheetName val="PPT Paste"/>
      <sheetName val="PPT Paste 2"/>
      <sheetName val="Summary"/>
      <sheetName val="RBA Financials"/>
      <sheetName val="RBA Assumptions"/>
      <sheetName val="Presentation"/>
      <sheetName val="DCF Solution"/>
      <sheetName val="LBO Analysis - MBA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DCF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tch Group Revenue "/>
      <sheetName val="Match Group Monthly Users"/>
      <sheetName val="Pro Forma Revenue Calculation"/>
      <sheetName val="Competitive Landscape"/>
      <sheetName val="Industry CAGR"/>
      <sheetName val="Bumble Revenue Forecasting"/>
      <sheetName val="Strategic Objectives"/>
      <sheetName val="Industry Overview"/>
      <sheetName val="Cap Structure"/>
      <sheetName val="Capital Requirements"/>
      <sheetName val="Capital Requirements for Match"/>
      <sheetName val="Equity to EV Bridge"/>
      <sheetName val="Equity to EV"/>
      <sheetName val="Stock Performance"/>
      <sheetName val="Sheet1"/>
      <sheetName val="Football Field"/>
      <sheetName val="Data"/>
      <sheetName val="IS Forecast"/>
      <sheetName val="Downloads"/>
      <sheetName val="LBO Model"/>
      <sheetName val="LBO Valuation Rang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 Sheet"/>
      <sheetName val="Valuation Summary"/>
      <sheetName val="DCF - Operating Assumptions"/>
      <sheetName val="DCF - Financials"/>
      <sheetName val="DCF - Financing Assumptions"/>
      <sheetName val="DCF - Valuation"/>
      <sheetName val="DCF - Internal Summary"/>
      <sheetName val="Pipeline"/>
      <sheetName val="Sense Check"/>
      <sheetName val="LBO - Summary"/>
      <sheetName val="LBO - Internal Assumptions"/>
      <sheetName val="LBO - Internal Calculations"/>
      <sheetName val="Comps - Model"/>
      <sheetName val="Comps - Valuation"/>
      <sheetName val="Comps Choices"/>
      <sheetName val="Comps - Model (PPT)"/>
      <sheetName val="Comps - Valuation (PPT)"/>
      <sheetName val="Precedents - Model"/>
      <sheetName val="Precedents - Valuation"/>
      <sheetName val="Precedents - Model (PPT)"/>
      <sheetName val="Precedents - Valuation (PPT)"/>
      <sheetName val="Precedents - Analysis (PP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ynn DCF Assumptions (LBO)"/>
      <sheetName val="Wynn Financials (LBO)"/>
      <sheetName val="Wynn LBO Assumptions"/>
      <sheetName val="LBO_Summary"/>
      <sheetName val="Wynn LBO Calcs"/>
      <sheetName val="Unused Sheets ---&gt;"/>
      <sheetName val="LBO Analysis - MBA Only"/>
      <sheetName val="LBO_Summary (2)"/>
      <sheetName val="LBO_Summary (prelim)"/>
      <sheetName val="DCF Solution"/>
      <sheetName val="&gt;&gt;&gt; Original Data"/>
      <sheetName val="Cashflow Statement"/>
      <sheetName val="Income Statement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D9FD-E27D-4A15-AE4D-F6799CC19F19}">
  <dimension ref="A1:AG86"/>
  <sheetViews>
    <sheetView showGridLines="0" tabSelected="1" zoomScale="64" zoomScaleNormal="98" workbookViewId="0">
      <selection activeCell="E11" sqref="E11"/>
    </sheetView>
  </sheetViews>
  <sheetFormatPr defaultRowHeight="14.25" x14ac:dyDescent="0.45"/>
  <cols>
    <col min="1" max="1" width="2.1328125" customWidth="1"/>
    <col min="2" max="2" width="16.3984375" customWidth="1"/>
    <col min="3" max="3" width="10.73046875" style="31" customWidth="1"/>
    <col min="5" max="5" width="14.6640625" customWidth="1"/>
    <col min="6" max="6" width="13.3984375" customWidth="1"/>
    <col min="7" max="7" width="12.59765625" bestFit="1" customWidth="1"/>
    <col min="8" max="8" width="11.86328125" customWidth="1"/>
    <col min="9" max="10" width="9.59765625" customWidth="1"/>
    <col min="11" max="15" width="10.59765625" customWidth="1"/>
    <col min="20" max="20" width="22.33203125" customWidth="1"/>
    <col min="21" max="21" width="10.265625" bestFit="1" customWidth="1"/>
  </cols>
  <sheetData>
    <row r="1" spans="2:12" ht="7.5" customHeight="1" x14ac:dyDescent="0.45">
      <c r="G1" s="23"/>
    </row>
    <row r="2" spans="2:12" ht="7.5" customHeight="1" x14ac:dyDescent="0.55000000000000004">
      <c r="B2" s="110"/>
      <c r="C2" s="110"/>
      <c r="D2" s="110"/>
      <c r="G2" s="23"/>
    </row>
    <row r="3" spans="2:12" ht="8.25" customHeight="1" x14ac:dyDescent="0.55000000000000004">
      <c r="B3" s="110"/>
      <c r="C3" s="110"/>
      <c r="D3" s="110"/>
      <c r="G3" s="23"/>
    </row>
    <row r="4" spans="2:12" ht="8.25" customHeight="1" x14ac:dyDescent="0.55000000000000004">
      <c r="B4" s="110"/>
      <c r="C4" s="110"/>
      <c r="D4" s="110"/>
      <c r="G4" s="23"/>
    </row>
    <row r="5" spans="2:12" ht="17.25" customHeight="1" x14ac:dyDescent="0.55000000000000004">
      <c r="B5" s="232" t="s">
        <v>71</v>
      </c>
      <c r="C5" s="232"/>
      <c r="D5" s="232"/>
      <c r="E5" s="232"/>
      <c r="F5" s="232"/>
      <c r="G5" s="23"/>
    </row>
    <row r="6" spans="2:12" x14ac:dyDescent="0.45">
      <c r="B6" s="230" t="s">
        <v>0</v>
      </c>
      <c r="C6" s="230"/>
      <c r="D6" s="82"/>
      <c r="E6" s="230" t="s">
        <v>109</v>
      </c>
      <c r="F6" s="230"/>
      <c r="H6" s="231" t="s">
        <v>63</v>
      </c>
      <c r="I6" s="231"/>
      <c r="J6" s="231"/>
      <c r="K6" s="231"/>
      <c r="L6" s="231"/>
    </row>
    <row r="7" spans="2:12" x14ac:dyDescent="0.45">
      <c r="B7" s="13" t="s">
        <v>59</v>
      </c>
      <c r="C7" s="32"/>
      <c r="D7" s="13"/>
      <c r="E7" s="13"/>
      <c r="F7" s="14"/>
      <c r="H7" s="9" t="s">
        <v>134</v>
      </c>
      <c r="I7" s="9"/>
      <c r="J7" s="9"/>
      <c r="K7" s="9"/>
      <c r="L7" s="9"/>
    </row>
    <row r="8" spans="2:12" x14ac:dyDescent="0.45">
      <c r="B8" s="94" t="s">
        <v>2</v>
      </c>
      <c r="C8" s="32"/>
      <c r="D8" s="13"/>
      <c r="E8" s="119">
        <v>45747</v>
      </c>
      <c r="F8" s="105"/>
      <c r="H8" s="9" t="s">
        <v>135</v>
      </c>
      <c r="I8" s="9"/>
      <c r="J8" s="9"/>
      <c r="K8" s="9"/>
      <c r="L8" s="9"/>
    </row>
    <row r="9" spans="2:12" x14ac:dyDescent="0.45">
      <c r="B9" s="94" t="s">
        <v>61</v>
      </c>
      <c r="C9" s="95"/>
      <c r="D9" s="16"/>
      <c r="E9" s="108">
        <v>1.95</v>
      </c>
      <c r="F9" s="108"/>
      <c r="H9" s="10" t="s">
        <v>65</v>
      </c>
      <c r="I9" s="9"/>
      <c r="J9" s="9"/>
      <c r="K9" s="115">
        <f>T38</f>
        <v>0.1362505405131863</v>
      </c>
      <c r="L9" s="9"/>
    </row>
    <row r="10" spans="2:12" x14ac:dyDescent="0.45">
      <c r="B10" s="94" t="s">
        <v>137</v>
      </c>
      <c r="C10" s="95"/>
      <c r="D10" s="16"/>
      <c r="E10" s="237">
        <f>5.74</f>
        <v>5.74</v>
      </c>
      <c r="F10" s="16"/>
      <c r="H10" s="10" t="s">
        <v>64</v>
      </c>
      <c r="I10" s="9"/>
      <c r="J10" s="9"/>
      <c r="K10" s="39">
        <f>T32</f>
        <v>4.4000000000000004E-2</v>
      </c>
      <c r="L10" s="9"/>
    </row>
    <row r="11" spans="2:12" x14ac:dyDescent="0.45">
      <c r="B11" s="94" t="s">
        <v>136</v>
      </c>
      <c r="C11" s="95"/>
      <c r="D11" s="16"/>
      <c r="E11" s="104">
        <f>O63</f>
        <v>9.595918366672759</v>
      </c>
      <c r="F11" s="104"/>
      <c r="H11" s="10" t="s">
        <v>7</v>
      </c>
      <c r="I11" s="9"/>
      <c r="J11" s="9"/>
      <c r="K11" s="116">
        <f>T33</f>
        <v>1.88</v>
      </c>
      <c r="L11" s="9"/>
    </row>
    <row r="12" spans="2:12" x14ac:dyDescent="0.45">
      <c r="B12" s="106" t="s">
        <v>60</v>
      </c>
      <c r="C12" s="32"/>
      <c r="D12" s="13"/>
      <c r="E12" s="109">
        <f>(E11-E10)/E10</f>
        <v>0.67176278165030634</v>
      </c>
      <c r="F12" s="109"/>
      <c r="H12" s="10" t="s">
        <v>45</v>
      </c>
      <c r="I12" s="9"/>
      <c r="J12" s="9"/>
      <c r="K12" s="117">
        <f>T34</f>
        <v>5.5E-2</v>
      </c>
      <c r="L12" s="9"/>
    </row>
    <row r="13" spans="2:12" x14ac:dyDescent="0.45">
      <c r="B13" s="16" t="s">
        <v>3</v>
      </c>
      <c r="C13" s="95"/>
      <c r="D13" s="16"/>
      <c r="E13" s="208">
        <f>629.6</f>
        <v>629.6</v>
      </c>
      <c r="F13" s="107"/>
      <c r="H13" s="10" t="s">
        <v>54</v>
      </c>
      <c r="I13" s="9"/>
      <c r="J13" s="9"/>
      <c r="K13" s="117">
        <f>T39</f>
        <v>0.03</v>
      </c>
      <c r="L13" s="9"/>
    </row>
    <row r="14" spans="2:12" x14ac:dyDescent="0.45">
      <c r="B14" s="15" t="s">
        <v>4</v>
      </c>
      <c r="C14" s="33"/>
      <c r="D14" s="16"/>
      <c r="E14" s="16"/>
      <c r="F14" s="16"/>
      <c r="H14" s="118"/>
      <c r="I14" s="9"/>
      <c r="J14" s="9"/>
      <c r="K14" s="9"/>
      <c r="L14" s="9"/>
    </row>
    <row r="15" spans="2:12" x14ac:dyDescent="0.45">
      <c r="B15" s="15"/>
      <c r="C15" s="33"/>
      <c r="D15" s="16"/>
      <c r="E15" s="16"/>
      <c r="F15" s="16"/>
    </row>
    <row r="16" spans="2:12" x14ac:dyDescent="0.45">
      <c r="B16" s="92"/>
      <c r="C16" s="93"/>
      <c r="D16" s="91"/>
      <c r="E16" s="49"/>
      <c r="F16" s="49"/>
      <c r="J16" s="24"/>
    </row>
    <row r="18" spans="2:23" x14ac:dyDescent="0.45">
      <c r="B18" s="228"/>
      <c r="C18" s="228"/>
      <c r="D18" s="228"/>
      <c r="E18" s="228"/>
      <c r="F18" s="228"/>
      <c r="G18" s="51"/>
      <c r="H18" s="51"/>
      <c r="I18" s="51"/>
      <c r="J18" s="51"/>
      <c r="K18" s="4" t="s">
        <v>5</v>
      </c>
      <c r="L18" s="3"/>
      <c r="M18" s="3"/>
      <c r="N18" s="3"/>
      <c r="O18" s="3"/>
    </row>
    <row r="19" spans="2:23" x14ac:dyDescent="0.45">
      <c r="B19" s="1" t="s">
        <v>59</v>
      </c>
      <c r="C19" s="34"/>
      <c r="D19" s="1"/>
      <c r="E19" s="1"/>
      <c r="F19" s="1"/>
      <c r="G19" s="2">
        <v>2018</v>
      </c>
      <c r="H19" s="2">
        <v>2023</v>
      </c>
      <c r="I19" s="2">
        <v>2024</v>
      </c>
      <c r="J19" s="2">
        <v>2025</v>
      </c>
      <c r="K19" s="5">
        <f>J19+1</f>
        <v>2026</v>
      </c>
      <c r="L19" s="5">
        <f t="shared" ref="L19:O19" si="0">K19+1</f>
        <v>2027</v>
      </c>
      <c r="M19" s="5">
        <f t="shared" si="0"/>
        <v>2028</v>
      </c>
      <c r="N19" s="5">
        <f t="shared" si="0"/>
        <v>2029</v>
      </c>
      <c r="O19" s="5">
        <f t="shared" si="0"/>
        <v>2030</v>
      </c>
      <c r="Q19" s="66" t="s">
        <v>36</v>
      </c>
      <c r="R19" s="67"/>
      <c r="S19" s="67"/>
      <c r="T19" s="67"/>
      <c r="U19" s="67"/>
      <c r="V19" s="67"/>
      <c r="W19" s="68"/>
    </row>
    <row r="20" spans="2:23" x14ac:dyDescent="0.45">
      <c r="H20" s="11"/>
      <c r="I20" s="11"/>
      <c r="J20" s="11"/>
      <c r="K20" s="12"/>
      <c r="L20" s="12"/>
      <c r="M20" s="12"/>
      <c r="N20" s="12"/>
      <c r="O20" s="12"/>
      <c r="Q20" s="70" t="s">
        <v>37</v>
      </c>
      <c r="R20" s="70"/>
      <c r="S20" s="70"/>
      <c r="T20" s="70"/>
      <c r="U20" s="70"/>
      <c r="V20" s="70"/>
      <c r="W20" s="70"/>
    </row>
    <row r="21" spans="2:23" x14ac:dyDescent="0.45">
      <c r="B21" s="7" t="s">
        <v>6</v>
      </c>
      <c r="C21" s="35"/>
      <c r="D21" s="6"/>
      <c r="E21" s="6"/>
      <c r="F21" s="6"/>
      <c r="G21" s="181"/>
      <c r="H21" s="209">
        <f>146.37</f>
        <v>146.37</v>
      </c>
      <c r="I21" s="209">
        <f>133.27</f>
        <v>133.27000000000001</v>
      </c>
      <c r="J21" s="181">
        <f>229.28</f>
        <v>229.28</v>
      </c>
      <c r="K21" s="225">
        <v>212</v>
      </c>
      <c r="L21" s="182">
        <v>498</v>
      </c>
      <c r="M21" s="182">
        <v>821</v>
      </c>
      <c r="N21" s="182">
        <v>1101</v>
      </c>
      <c r="O21" s="182">
        <v>1321</v>
      </c>
      <c r="Q21" s="70" t="s">
        <v>38</v>
      </c>
      <c r="R21" s="70"/>
      <c r="S21" s="70"/>
      <c r="T21" s="70"/>
      <c r="U21" s="70"/>
      <c r="V21" s="70"/>
      <c r="W21" s="70"/>
    </row>
    <row r="22" spans="2:23" x14ac:dyDescent="0.45">
      <c r="B22" s="7" t="s">
        <v>22</v>
      </c>
      <c r="C22" s="35"/>
      <c r="D22" s="6"/>
      <c r="E22" s="6"/>
      <c r="F22" s="6"/>
      <c r="G22" s="53"/>
      <c r="H22" s="210"/>
      <c r="I22" s="54">
        <f t="shared" ref="I22" si="1">I21/H21-1</f>
        <v>-8.9499214319874287E-2</v>
      </c>
      <c r="J22" s="54">
        <f>J21/I21-1</f>
        <v>0.7204171981691303</v>
      </c>
      <c r="K22" s="54">
        <f>K21/J21-1</f>
        <v>-7.53663642707606E-2</v>
      </c>
      <c r="L22" s="54">
        <f>L21/K21-1</f>
        <v>1.3490566037735849</v>
      </c>
      <c r="M22" s="57">
        <v>0.154</v>
      </c>
      <c r="N22" s="57">
        <v>0.12</v>
      </c>
      <c r="O22" s="57">
        <v>0.122</v>
      </c>
    </row>
    <row r="23" spans="2:23" ht="15" customHeight="1" x14ac:dyDescent="0.45">
      <c r="B23" s="21" t="s">
        <v>23</v>
      </c>
      <c r="C23" s="36"/>
      <c r="D23" s="22"/>
      <c r="E23" s="22"/>
      <c r="F23" s="22"/>
      <c r="G23" s="183"/>
      <c r="H23" s="211">
        <f>-66.7</f>
        <v>-66.7</v>
      </c>
      <c r="I23" s="211">
        <f>-77.84</f>
        <v>-77.84</v>
      </c>
      <c r="J23" s="223">
        <f>-97.24</f>
        <v>-97.24</v>
      </c>
      <c r="K23" s="184">
        <f>52</f>
        <v>52</v>
      </c>
      <c r="L23" s="184">
        <v>79</v>
      </c>
      <c r="M23" s="184">
        <v>112</v>
      </c>
      <c r="N23" s="184">
        <v>312</v>
      </c>
      <c r="O23" s="184">
        <v>411</v>
      </c>
      <c r="Q23" s="102" t="s">
        <v>39</v>
      </c>
      <c r="R23" s="103"/>
      <c r="S23" s="103"/>
      <c r="T23" s="195">
        <f>98.75+585.03</f>
        <v>683.78</v>
      </c>
    </row>
    <row r="24" spans="2:23" x14ac:dyDescent="0.45">
      <c r="B24" s="7" t="s">
        <v>24</v>
      </c>
      <c r="C24" s="35"/>
      <c r="D24" s="6"/>
      <c r="E24" s="6"/>
      <c r="F24" s="6"/>
      <c r="G24" s="55"/>
      <c r="H24" s="56">
        <f>H23/H21</f>
        <v>-0.45569447291111564</v>
      </c>
      <c r="I24" s="54">
        <f t="shared" ref="I24:O24" si="2">I23/I21</f>
        <v>-0.5840774367824717</v>
      </c>
      <c r="J24" s="56">
        <f t="shared" si="2"/>
        <v>-0.42411025819958126</v>
      </c>
      <c r="K24" s="56">
        <f t="shared" si="2"/>
        <v>0.24528301886792453</v>
      </c>
      <c r="L24" s="56">
        <f t="shared" si="2"/>
        <v>0.15863453815261044</v>
      </c>
      <c r="M24" s="56">
        <f t="shared" si="2"/>
        <v>0.1364190012180268</v>
      </c>
      <c r="N24" s="56">
        <f t="shared" si="2"/>
        <v>0.28337874659400547</v>
      </c>
      <c r="O24" s="56">
        <f t="shared" si="2"/>
        <v>0.31112793338380013</v>
      </c>
      <c r="Q24" s="75" t="s">
        <v>40</v>
      </c>
      <c r="R24" s="70"/>
      <c r="S24" s="70"/>
      <c r="T24" s="71">
        <f>T23/T36</f>
        <v>0.16477579426280073</v>
      </c>
    </row>
    <row r="25" spans="2:23" x14ac:dyDescent="0.45">
      <c r="B25" s="7" t="s">
        <v>25</v>
      </c>
      <c r="C25" s="35"/>
      <c r="D25" s="6"/>
      <c r="E25" s="6"/>
      <c r="F25" s="6"/>
      <c r="G25" s="181"/>
      <c r="H25" s="209">
        <f>T47</f>
        <v>-0.4</v>
      </c>
      <c r="I25" s="209">
        <f>U48</f>
        <v>0.35</v>
      </c>
      <c r="J25" s="209">
        <f>U49</f>
        <v>0.10000000000000002</v>
      </c>
      <c r="K25" s="225">
        <f>K23*0.41</f>
        <v>21.32</v>
      </c>
      <c r="L25" s="225">
        <f>L23*0.51</f>
        <v>40.29</v>
      </c>
      <c r="M25" s="225">
        <f>M23*0.41</f>
        <v>45.919999999999995</v>
      </c>
      <c r="N25" s="225">
        <f>N23*0.38</f>
        <v>118.56</v>
      </c>
      <c r="O25" s="225">
        <f>O23*0.47</f>
        <v>193.17</v>
      </c>
      <c r="Q25" s="75" t="s">
        <v>41</v>
      </c>
      <c r="R25" s="70"/>
      <c r="S25" s="70"/>
      <c r="T25" s="72">
        <v>6.5000000000000002E-2</v>
      </c>
    </row>
    <row r="26" spans="2:23" x14ac:dyDescent="0.45">
      <c r="B26" s="7" t="s">
        <v>27</v>
      </c>
      <c r="C26" s="35"/>
      <c r="D26" s="6"/>
      <c r="E26" s="6"/>
      <c r="F26" s="6"/>
      <c r="G26" s="55"/>
      <c r="H26" s="55">
        <f>H25/H23</f>
        <v>5.9970014992503746E-3</v>
      </c>
      <c r="I26" s="222">
        <f>I25/I23</f>
        <v>-4.4964028776978415E-3</v>
      </c>
      <c r="J26" s="55">
        <f>J25/J23</f>
        <v>-1.028383381324558E-3</v>
      </c>
      <c r="K26" s="226">
        <f>K25/K23</f>
        <v>0.41000000000000003</v>
      </c>
      <c r="L26" s="226">
        <f t="shared" ref="L26:O26" si="3">L25/L23</f>
        <v>0.51</v>
      </c>
      <c r="M26" s="226">
        <f t="shared" si="3"/>
        <v>0.41</v>
      </c>
      <c r="N26" s="226">
        <f t="shared" si="3"/>
        <v>0.38</v>
      </c>
      <c r="O26" s="226">
        <f t="shared" si="3"/>
        <v>0.47</v>
      </c>
      <c r="Q26" s="75" t="s">
        <v>8</v>
      </c>
      <c r="R26" s="70"/>
      <c r="S26" s="70"/>
      <c r="T26" s="73">
        <v>0.21</v>
      </c>
    </row>
    <row r="27" spans="2:23" ht="15" customHeight="1" x14ac:dyDescent="0.45">
      <c r="B27" s="100" t="s">
        <v>28</v>
      </c>
      <c r="C27" s="35"/>
      <c r="D27" s="6"/>
      <c r="E27" s="6"/>
      <c r="F27" s="6"/>
      <c r="G27" s="183"/>
      <c r="H27" s="183">
        <f>H23-H25</f>
        <v>-66.3</v>
      </c>
      <c r="I27" s="183">
        <f t="shared" ref="I27" si="4">I23-I25</f>
        <v>-78.19</v>
      </c>
      <c r="J27" s="183">
        <f>J23-J25</f>
        <v>-97.339999999999989</v>
      </c>
      <c r="K27" s="184">
        <f>K23-K25</f>
        <v>30.68</v>
      </c>
      <c r="L27" s="184">
        <f>L23-L25</f>
        <v>38.71</v>
      </c>
      <c r="M27" s="184">
        <f>M23-M25</f>
        <v>66.080000000000013</v>
      </c>
      <c r="N27" s="184">
        <f t="shared" ref="N27:O27" si="5">N23-N25</f>
        <v>193.44</v>
      </c>
      <c r="O27" s="184">
        <f t="shared" si="5"/>
        <v>217.83</v>
      </c>
      <c r="Q27" s="8"/>
      <c r="T27" s="64"/>
    </row>
    <row r="28" spans="2:23" ht="15" customHeight="1" x14ac:dyDescent="0.45">
      <c r="B28" s="7" t="s">
        <v>29</v>
      </c>
      <c r="C28" s="35"/>
      <c r="D28" s="6"/>
      <c r="E28" s="6"/>
      <c r="F28" s="6"/>
      <c r="G28" s="181"/>
      <c r="H28" s="185">
        <f>84.79</f>
        <v>84.79</v>
      </c>
      <c r="I28" s="220">
        <f>135.69</f>
        <v>135.69</v>
      </c>
      <c r="J28" s="220">
        <f>122.85</f>
        <v>122.85</v>
      </c>
      <c r="K28" s="186">
        <v>90</v>
      </c>
      <c r="L28" s="186">
        <v>96</v>
      </c>
      <c r="M28" s="186">
        <v>148</v>
      </c>
      <c r="N28" s="186">
        <v>146</v>
      </c>
      <c r="O28" s="186">
        <v>162</v>
      </c>
      <c r="Q28" s="75" t="s">
        <v>16</v>
      </c>
      <c r="R28" s="70"/>
      <c r="S28" s="70"/>
      <c r="T28" s="194">
        <f>3465.98</f>
        <v>3465.98</v>
      </c>
    </row>
    <row r="29" spans="2:23" ht="15" customHeight="1" x14ac:dyDescent="0.45">
      <c r="B29" s="7" t="s">
        <v>30</v>
      </c>
      <c r="C29" s="35"/>
      <c r="D29" s="6"/>
      <c r="E29" s="6"/>
      <c r="F29" s="6"/>
      <c r="G29" s="55"/>
      <c r="H29" s="55">
        <f>H28/H21</f>
        <v>0.57928537268565961</v>
      </c>
      <c r="I29" s="222">
        <f>I28/I21</f>
        <v>1.0181586253470398</v>
      </c>
      <c r="J29" s="55">
        <f>J28/J21</f>
        <v>0.53580774598743897</v>
      </c>
      <c r="K29" s="55">
        <f>K28/K21</f>
        <v>0.42452830188679247</v>
      </c>
      <c r="L29" s="55">
        <f t="shared" ref="L29:O29" si="6">L28/L21</f>
        <v>0.19277108433734941</v>
      </c>
      <c r="M29" s="55">
        <f t="shared" si="6"/>
        <v>0.18026796589524968</v>
      </c>
      <c r="N29" s="55">
        <f t="shared" si="6"/>
        <v>0.13260672116257946</v>
      </c>
      <c r="O29" s="55">
        <f t="shared" si="6"/>
        <v>0.12263436790310371</v>
      </c>
      <c r="Q29" s="75"/>
      <c r="R29" s="70"/>
      <c r="S29" s="70"/>
      <c r="T29" s="81"/>
    </row>
    <row r="30" spans="2:23" ht="15" customHeight="1" x14ac:dyDescent="0.45">
      <c r="B30" s="97" t="s">
        <v>18</v>
      </c>
      <c r="C30" s="98"/>
      <c r="D30" s="99"/>
      <c r="E30" s="99"/>
      <c r="F30" s="99"/>
      <c r="G30" s="187"/>
      <c r="H30" s="217">
        <f>H28+H23</f>
        <v>18.090000000000003</v>
      </c>
      <c r="I30" s="221">
        <f t="shared" ref="I30:O30" si="7">I28+I23</f>
        <v>57.849999999999994</v>
      </c>
      <c r="J30" s="217">
        <f t="shared" si="7"/>
        <v>25.61</v>
      </c>
      <c r="K30" s="188">
        <f>K28+K23</f>
        <v>142</v>
      </c>
      <c r="L30" s="188">
        <f>L28+L23</f>
        <v>175</v>
      </c>
      <c r="M30" s="188">
        <f t="shared" si="7"/>
        <v>260</v>
      </c>
      <c r="N30" s="188">
        <f t="shared" si="7"/>
        <v>458</v>
      </c>
      <c r="O30" s="188">
        <f t="shared" si="7"/>
        <v>573</v>
      </c>
      <c r="Q30" s="75" t="s">
        <v>42</v>
      </c>
      <c r="R30" s="70"/>
      <c r="S30" s="70"/>
      <c r="T30" s="62">
        <f>T28/T36</f>
        <v>0.83522420573719924</v>
      </c>
    </row>
    <row r="31" spans="2:23" ht="15" customHeight="1" x14ac:dyDescent="0.45">
      <c r="B31" s="7" t="s">
        <v>31</v>
      </c>
      <c r="C31" s="35"/>
      <c r="D31" s="6"/>
      <c r="E31" s="6"/>
      <c r="F31" s="6"/>
      <c r="G31" s="189"/>
      <c r="H31" s="224">
        <f>-71.31</f>
        <v>-71.31</v>
      </c>
      <c r="I31" s="224">
        <f>-286.92</f>
        <v>-286.92</v>
      </c>
      <c r="J31" s="224">
        <f>-105.92</f>
        <v>-105.92</v>
      </c>
      <c r="K31" s="190">
        <f>-40</f>
        <v>-40</v>
      </c>
      <c r="L31" s="190">
        <v>-31</v>
      </c>
      <c r="M31" s="190">
        <v>-74</v>
      </c>
      <c r="N31" s="190">
        <v>-91</v>
      </c>
      <c r="O31" s="190">
        <v>-121</v>
      </c>
      <c r="Q31" s="75" t="s">
        <v>43</v>
      </c>
      <c r="R31" s="70"/>
      <c r="S31" s="70"/>
      <c r="T31" s="62">
        <f>15.3%</f>
        <v>0.153</v>
      </c>
      <c r="W31" s="60"/>
    </row>
    <row r="32" spans="2:23" ht="15" customHeight="1" x14ac:dyDescent="0.45">
      <c r="B32" s="7" t="s">
        <v>32</v>
      </c>
      <c r="C32" s="35"/>
      <c r="D32" s="6"/>
      <c r="E32" s="6"/>
      <c r="F32" s="6"/>
      <c r="G32" s="52"/>
      <c r="H32" s="52">
        <f t="shared" ref="H32:I32" si="8">H31/H21</f>
        <v>-0.48718999795039969</v>
      </c>
      <c r="I32" s="52">
        <f t="shared" si="8"/>
        <v>-2.1529226382531701</v>
      </c>
      <c r="J32" s="52">
        <f>J31/J21</f>
        <v>-0.46196789951151429</v>
      </c>
      <c r="K32" s="52">
        <f>K31/K21</f>
        <v>-0.18867924528301888</v>
      </c>
      <c r="L32" s="52">
        <f>L31/L21</f>
        <v>-6.224899598393574E-2</v>
      </c>
      <c r="M32" s="52">
        <f t="shared" ref="M32" si="9">M31/M21</f>
        <v>-9.0133982947624841E-2</v>
      </c>
      <c r="N32" s="52">
        <f>N31/N21</f>
        <v>-8.2652134423251589E-2</v>
      </c>
      <c r="O32" s="52">
        <f>O31/O21</f>
        <v>-9.1597274791824376E-2</v>
      </c>
      <c r="Q32" s="75" t="s">
        <v>44</v>
      </c>
      <c r="R32" s="70"/>
      <c r="S32" s="70"/>
      <c r="T32" s="65">
        <f>4.4%</f>
        <v>4.4000000000000004E-2</v>
      </c>
    </row>
    <row r="33" spans="1:33" ht="15" customHeight="1" x14ac:dyDescent="0.45">
      <c r="B33" s="7" t="s">
        <v>33</v>
      </c>
      <c r="C33" s="35"/>
      <c r="D33" s="6"/>
      <c r="E33" s="6"/>
      <c r="F33" s="6"/>
      <c r="G33" s="191"/>
      <c r="H33" s="224">
        <v>1.24</v>
      </c>
      <c r="I33" s="224">
        <f>-7.48</f>
        <v>-7.48</v>
      </c>
      <c r="J33" s="224">
        <f>1.11</f>
        <v>1.1100000000000001</v>
      </c>
      <c r="K33" s="58">
        <v>2.89</v>
      </c>
      <c r="L33" s="58">
        <v>2.1</v>
      </c>
      <c r="M33" s="58">
        <v>2.2999999999999998</v>
      </c>
      <c r="N33" s="58">
        <v>2.41</v>
      </c>
      <c r="O33" s="58">
        <v>2.89</v>
      </c>
      <c r="Q33" s="75" t="s">
        <v>7</v>
      </c>
      <c r="R33" s="70"/>
      <c r="S33" s="70"/>
      <c r="T33" s="61">
        <v>1.88</v>
      </c>
    </row>
    <row r="34" spans="1:33" ht="15" customHeight="1" x14ac:dyDescent="0.45">
      <c r="B34" s="7" t="s">
        <v>26</v>
      </c>
      <c r="C34" s="35"/>
      <c r="D34" s="6"/>
      <c r="E34" s="6"/>
      <c r="F34" s="6"/>
      <c r="G34" s="52"/>
      <c r="H34" s="52">
        <f t="shared" ref="H34:O34" si="10">H33/H21</f>
        <v>8.4716813554690171E-3</v>
      </c>
      <c r="I34" s="52">
        <f t="shared" si="10"/>
        <v>-5.6126660163577695E-2</v>
      </c>
      <c r="J34" s="52">
        <f t="shared" si="10"/>
        <v>4.8412421493370557E-3</v>
      </c>
      <c r="K34" s="52">
        <f>K33/K21</f>
        <v>1.3632075471698113E-2</v>
      </c>
      <c r="L34" s="52">
        <f t="shared" si="10"/>
        <v>4.2168674698795181E-3</v>
      </c>
      <c r="M34" s="52">
        <f t="shared" si="10"/>
        <v>2.8014616321559074E-3</v>
      </c>
      <c r="N34" s="52">
        <f t="shared" si="10"/>
        <v>2.1889191643960039E-3</v>
      </c>
      <c r="O34" s="52">
        <f t="shared" si="10"/>
        <v>2.1877365632096898E-3</v>
      </c>
      <c r="Q34" s="75" t="s">
        <v>45</v>
      </c>
      <c r="R34" s="70"/>
      <c r="S34" s="70"/>
      <c r="T34" s="63">
        <v>5.5E-2</v>
      </c>
    </row>
    <row r="35" spans="1:33" ht="15" customHeight="1" x14ac:dyDescent="0.45">
      <c r="B35" s="18" t="s">
        <v>35</v>
      </c>
      <c r="C35" s="37"/>
      <c r="D35" s="19"/>
      <c r="E35" s="19"/>
      <c r="F35" s="19"/>
      <c r="G35" s="19"/>
      <c r="H35" s="20"/>
      <c r="I35" s="20"/>
      <c r="J35" s="20"/>
      <c r="K35" s="59">
        <f>K27+K28+K31-K33</f>
        <v>77.790000000000006</v>
      </c>
      <c r="L35" s="59">
        <f t="shared" ref="L35:O35" si="11">L27+L28+L31-L33</f>
        <v>101.61000000000001</v>
      </c>
      <c r="M35" s="59">
        <f t="shared" si="11"/>
        <v>137.78</v>
      </c>
      <c r="N35" s="59">
        <f t="shared" si="11"/>
        <v>246.03</v>
      </c>
      <c r="O35" s="59">
        <f t="shared" si="11"/>
        <v>255.94000000000005</v>
      </c>
      <c r="T35" s="64"/>
    </row>
    <row r="36" spans="1:33" ht="15" customHeight="1" x14ac:dyDescent="0.45">
      <c r="B36" s="18" t="s">
        <v>34</v>
      </c>
      <c r="C36" s="37"/>
      <c r="D36" s="19"/>
      <c r="E36" s="19"/>
      <c r="F36" s="19"/>
      <c r="G36" s="19"/>
      <c r="H36" s="20"/>
      <c r="I36" s="20"/>
      <c r="J36" s="20"/>
      <c r="K36" s="59">
        <f>K35/(1+$T$38)^1</f>
        <v>68.462013637297147</v>
      </c>
      <c r="L36" s="59">
        <f>L35/(1+$T$38)^2</f>
        <v>78.702448840320741</v>
      </c>
      <c r="M36" s="59">
        <f>M35/(1+$T$38)^3</f>
        <v>93.921251723330514</v>
      </c>
      <c r="N36" s="59">
        <f>N35/(1+$T$38)^4</f>
        <v>147.60180054140599</v>
      </c>
      <c r="O36" s="59">
        <f>O35/(1+$T$38)^5</f>
        <v>135.13493948586819</v>
      </c>
      <c r="Q36" s="76" t="s">
        <v>57</v>
      </c>
      <c r="R36" s="77"/>
      <c r="S36" s="77"/>
      <c r="T36" s="80">
        <f>T28+T23</f>
        <v>4149.76</v>
      </c>
      <c r="U36" s="234" t="s">
        <v>58</v>
      </c>
      <c r="V36" s="235"/>
    </row>
    <row r="37" spans="1:33" ht="15" customHeight="1" x14ac:dyDescent="0.45">
      <c r="B37" s="11"/>
      <c r="C37" s="38"/>
      <c r="H37" s="17"/>
      <c r="I37" s="17"/>
      <c r="J37" s="17"/>
      <c r="K37" s="17"/>
      <c r="L37" s="17"/>
      <c r="M37" s="17"/>
      <c r="N37" s="17"/>
      <c r="O37" s="17"/>
      <c r="Q37" s="96"/>
      <c r="R37" s="49"/>
      <c r="T37" s="64"/>
    </row>
    <row r="38" spans="1:33" x14ac:dyDescent="0.45">
      <c r="A38" s="49"/>
      <c r="B38" s="82" t="s">
        <v>10</v>
      </c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Q38" s="88" t="s">
        <v>46</v>
      </c>
      <c r="R38" s="89"/>
      <c r="S38" s="89"/>
      <c r="T38" s="90">
        <f>(T30*T31)+(T24*T25*(1-T26))</f>
        <v>0.1362505405131863</v>
      </c>
    </row>
    <row r="39" spans="1:33" x14ac:dyDescent="0.45">
      <c r="A39" s="49"/>
      <c r="B39" t="s">
        <v>15</v>
      </c>
      <c r="C39" s="69"/>
      <c r="D39" s="49"/>
      <c r="E39" s="49"/>
      <c r="F39" s="49"/>
      <c r="G39" s="49"/>
      <c r="H39" s="49"/>
      <c r="O39" s="24">
        <f>O35*(1+T39)/(T38-T39)</f>
        <v>2481.0998487794377</v>
      </c>
      <c r="Q39" s="86" t="s">
        <v>54</v>
      </c>
      <c r="R39" s="87"/>
      <c r="S39" s="87"/>
      <c r="T39" s="101">
        <f>3%</f>
        <v>0.03</v>
      </c>
    </row>
    <row r="40" spans="1:33" ht="15" customHeight="1" x14ac:dyDescent="0.45">
      <c r="A40" s="49"/>
      <c r="B40" t="s">
        <v>47</v>
      </c>
      <c r="O40" s="24">
        <f>O39/(1+T38)^5</f>
        <v>1310.0073373572163</v>
      </c>
      <c r="Q40" s="233" t="s">
        <v>55</v>
      </c>
      <c r="R40" s="233"/>
      <c r="S40" s="233"/>
      <c r="T40" s="233"/>
      <c r="U40" s="233"/>
      <c r="V40" s="233"/>
      <c r="W40" s="233"/>
    </row>
    <row r="41" spans="1:33" ht="15" customHeight="1" x14ac:dyDescent="0.45">
      <c r="A41" s="49"/>
      <c r="B41" s="51" t="s">
        <v>56</v>
      </c>
      <c r="C41" s="78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192">
        <f>SUM(K36:O36)</f>
        <v>523.82245422822257</v>
      </c>
      <c r="Q41" s="233"/>
      <c r="R41" s="233"/>
      <c r="S41" s="233"/>
      <c r="T41" s="233"/>
      <c r="U41" s="233"/>
      <c r="V41" s="233"/>
      <c r="W41" s="233"/>
    </row>
    <row r="42" spans="1:33" x14ac:dyDescent="0.45">
      <c r="A42" s="49"/>
      <c r="B42" s="11" t="s">
        <v>14</v>
      </c>
      <c r="C42" s="38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93">
        <f>SUM(K36:O36,O40)</f>
        <v>1833.8297915854389</v>
      </c>
      <c r="Q42" s="233"/>
      <c r="R42" s="233"/>
      <c r="S42" s="233"/>
      <c r="T42" s="233"/>
      <c r="U42" s="233"/>
      <c r="V42" s="233"/>
      <c r="W42" s="233"/>
    </row>
    <row r="43" spans="1:33" x14ac:dyDescent="0.45">
      <c r="B43" t="s">
        <v>48</v>
      </c>
      <c r="C43"/>
      <c r="O43" s="196">
        <f>573.46</f>
        <v>573.46</v>
      </c>
      <c r="Q43" s="214" t="s">
        <v>112</v>
      </c>
      <c r="R43" s="215"/>
      <c r="S43" s="215"/>
      <c r="T43" s="215"/>
      <c r="U43" s="215"/>
      <c r="V43" s="216"/>
    </row>
    <row r="44" spans="1:33" x14ac:dyDescent="0.45">
      <c r="B44" s="51" t="s">
        <v>49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197">
        <f>-T23</f>
        <v>-683.78</v>
      </c>
      <c r="Q44" s="212" t="s">
        <v>110</v>
      </c>
      <c r="R44" s="212"/>
      <c r="S44" s="212" t="s">
        <v>111</v>
      </c>
      <c r="T44" s="212"/>
      <c r="U44" s="212"/>
      <c r="V44" s="212"/>
    </row>
    <row r="45" spans="1:33" x14ac:dyDescent="0.45">
      <c r="B45" s="11" t="s">
        <v>16</v>
      </c>
      <c r="C45"/>
      <c r="O45" s="193">
        <f>O42+O43-O44</f>
        <v>3091.0697915854389</v>
      </c>
      <c r="Q45" s="212"/>
      <c r="R45" s="212" t="s">
        <v>113</v>
      </c>
      <c r="S45" s="212"/>
      <c r="T45" s="212"/>
      <c r="U45" s="212"/>
      <c r="V45" s="212"/>
    </row>
    <row r="46" spans="1:33" x14ac:dyDescent="0.45">
      <c r="B46" t="s">
        <v>50</v>
      </c>
      <c r="C46"/>
      <c r="O46" s="198">
        <f>E13</f>
        <v>629.6</v>
      </c>
      <c r="Q46" s="212" t="s">
        <v>114</v>
      </c>
      <c r="R46" s="212"/>
      <c r="S46" s="212"/>
      <c r="T46" s="212">
        <f>-0.4/(-66.7)</f>
        <v>5.9970014992503746E-3</v>
      </c>
      <c r="U46" s="212"/>
      <c r="V46" s="212"/>
    </row>
    <row r="47" spans="1:33" x14ac:dyDescent="0.45">
      <c r="B47" s="111" t="s">
        <v>19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4">
        <f>O45/O46</f>
        <v>4.9095771785029205</v>
      </c>
      <c r="Q47" s="212" t="s">
        <v>25</v>
      </c>
      <c r="R47" s="212"/>
      <c r="S47" s="212"/>
      <c r="T47" s="212">
        <f>T46*H23</f>
        <v>-0.4</v>
      </c>
      <c r="U47" s="213"/>
      <c r="V47" s="212">
        <v>2023</v>
      </c>
      <c r="W47" s="49"/>
      <c r="X47" s="49"/>
      <c r="Y47" s="49"/>
      <c r="Z47" s="49"/>
      <c r="AG47" s="122">
        <f>15</f>
        <v>15</v>
      </c>
    </row>
    <row r="48" spans="1:33" x14ac:dyDescent="0.45">
      <c r="C48"/>
      <c r="T48" s="219">
        <f>0.35/I23</f>
        <v>-4.4964028776978415E-3</v>
      </c>
      <c r="U48" s="218">
        <f>T48*I23</f>
        <v>0.35</v>
      </c>
      <c r="V48">
        <v>2024</v>
      </c>
    </row>
    <row r="49" spans="2:30" x14ac:dyDescent="0.45">
      <c r="B49" s="82" t="s">
        <v>51</v>
      </c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T49">
        <f>0.1/J23</f>
        <v>-1.028383381324558E-3</v>
      </c>
      <c r="U49">
        <f>T49*J23</f>
        <v>0.10000000000000002</v>
      </c>
      <c r="V49">
        <v>2025</v>
      </c>
      <c r="AD49" s="85"/>
    </row>
    <row r="50" spans="2:30" x14ac:dyDescent="0.45">
      <c r="B50" t="s">
        <v>12</v>
      </c>
      <c r="C50" s="69"/>
      <c r="D50" s="49"/>
      <c r="E50" s="49"/>
      <c r="F50" s="49"/>
      <c r="G50" s="49"/>
      <c r="H50" s="49"/>
      <c r="O50" s="122">
        <f>'Public (Trading) Comps'!E35</f>
        <v>27.067642803202769</v>
      </c>
    </row>
    <row r="51" spans="2:30" x14ac:dyDescent="0.45">
      <c r="B51" s="120" t="str">
        <f>O19&amp;  " EBITDA "</f>
        <v xml:space="preserve">2030 EBITDA </v>
      </c>
      <c r="C51" s="78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192">
        <f>O23+O28</f>
        <v>573</v>
      </c>
    </row>
    <row r="52" spans="2:30" x14ac:dyDescent="0.45">
      <c r="B52" s="121" t="s">
        <v>13</v>
      </c>
      <c r="O52" s="207">
        <f>'Public (Trading) Comps'!D34</f>
        <v>8.0691642651296824</v>
      </c>
    </row>
    <row r="53" spans="2:30" x14ac:dyDescent="0.45">
      <c r="B53" t="str">
        <f>O19&amp; " Sales"</f>
        <v>2030 Sales</v>
      </c>
      <c r="O53" s="24">
        <f>O21</f>
        <v>1321</v>
      </c>
    </row>
    <row r="54" spans="2:30" x14ac:dyDescent="0.45">
      <c r="B54" t="s">
        <v>66</v>
      </c>
      <c r="O54" s="60">
        <v>1</v>
      </c>
      <c r="P54" t="s">
        <v>67</v>
      </c>
    </row>
    <row r="55" spans="2:30" x14ac:dyDescent="0.45">
      <c r="B55" s="11" t="s">
        <v>15</v>
      </c>
      <c r="O55" s="24">
        <f>IF(O54=0,O50*O51,O52*O53)</f>
        <v>10659.36599423631</v>
      </c>
      <c r="Q55" t="s">
        <v>68</v>
      </c>
    </row>
    <row r="56" spans="2:30" ht="15" customHeight="1" x14ac:dyDescent="0.45">
      <c r="B56" t="s">
        <v>47</v>
      </c>
      <c r="C56"/>
      <c r="O56" s="177">
        <f>O55/(1+T38)^5</f>
        <v>5628.0877494289471</v>
      </c>
      <c r="Q56" t="s">
        <v>69</v>
      </c>
      <c r="V56" s="23"/>
      <c r="W56" s="23"/>
      <c r="X56" s="23"/>
    </row>
    <row r="57" spans="2:30" x14ac:dyDescent="0.45">
      <c r="B57" t="s">
        <v>52</v>
      </c>
      <c r="C57"/>
      <c r="O57" s="177">
        <f>SUM(K36:O36)</f>
        <v>523.82245422822257</v>
      </c>
      <c r="R57" s="23"/>
      <c r="S57" s="23"/>
      <c r="T57" s="23"/>
      <c r="U57" s="23"/>
      <c r="V57" s="23"/>
      <c r="W57" s="23"/>
      <c r="X57" s="23"/>
    </row>
    <row r="58" spans="2:30" x14ac:dyDescent="0.45">
      <c r="B58" s="79" t="s">
        <v>14</v>
      </c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199">
        <f>SUM(O56:O57)</f>
        <v>6151.9102036571694</v>
      </c>
      <c r="Q58" s="23"/>
      <c r="R58" s="23"/>
      <c r="S58" s="23"/>
      <c r="T58" s="23"/>
      <c r="U58" s="23"/>
      <c r="V58" s="23"/>
      <c r="W58" s="23"/>
      <c r="X58" s="23"/>
    </row>
    <row r="59" spans="2:30" x14ac:dyDescent="0.45">
      <c r="B59" t="s">
        <v>53</v>
      </c>
      <c r="C59"/>
      <c r="O59" s="85">
        <f>O43</f>
        <v>573.46</v>
      </c>
    </row>
    <row r="60" spans="2:30" x14ac:dyDescent="0.45">
      <c r="B60" t="s">
        <v>49</v>
      </c>
      <c r="C60"/>
      <c r="O60" s="177">
        <f>O44</f>
        <v>-683.78</v>
      </c>
    </row>
    <row r="61" spans="2:30" x14ac:dyDescent="0.45">
      <c r="B61" s="79" t="s">
        <v>16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200">
        <f>O58+O59+O60</f>
        <v>6041.5902036571697</v>
      </c>
    </row>
    <row r="62" spans="2:30" x14ac:dyDescent="0.45">
      <c r="B62" t="s">
        <v>50</v>
      </c>
      <c r="C62"/>
      <c r="O62" s="177">
        <f>O46</f>
        <v>629.6</v>
      </c>
    </row>
    <row r="63" spans="2:30" x14ac:dyDescent="0.45">
      <c r="B63" s="111" t="s">
        <v>62</v>
      </c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3">
        <f>O61/O62</f>
        <v>9.595918366672759</v>
      </c>
    </row>
    <row r="67" spans="2:17" x14ac:dyDescent="0.45">
      <c r="B67" s="229" t="s">
        <v>17</v>
      </c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</row>
    <row r="68" spans="2:17" x14ac:dyDescent="0.45">
      <c r="B68" s="25"/>
      <c r="C68" s="29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2:17" ht="15" customHeight="1" x14ac:dyDescent="0.45">
      <c r="B69" s="25"/>
      <c r="C69" s="26" t="s">
        <v>10</v>
      </c>
      <c r="D69" s="25"/>
      <c r="E69" s="25"/>
      <c r="F69" s="25"/>
      <c r="G69" s="25"/>
      <c r="H69" s="25"/>
      <c r="I69" s="25"/>
      <c r="J69" s="26" t="s">
        <v>70</v>
      </c>
      <c r="K69" s="25"/>
      <c r="L69" s="25"/>
      <c r="M69" s="25"/>
      <c r="N69" s="25"/>
      <c r="O69" s="25"/>
      <c r="P69" s="25"/>
      <c r="Q69" s="25"/>
    </row>
    <row r="70" spans="2:17" x14ac:dyDescent="0.45">
      <c r="B70" s="25"/>
      <c r="C70" s="29"/>
      <c r="D70" s="41" t="s">
        <v>9</v>
      </c>
      <c r="E70" s="40"/>
      <c r="F70" s="40"/>
      <c r="G70" s="40"/>
      <c r="H70" s="40"/>
      <c r="I70" s="25"/>
      <c r="J70" s="25"/>
      <c r="K70" s="41" t="s">
        <v>9</v>
      </c>
      <c r="L70" s="41"/>
      <c r="M70" s="41"/>
      <c r="N70" s="41"/>
      <c r="O70" s="41"/>
      <c r="P70" s="25"/>
      <c r="Q70" s="25"/>
    </row>
    <row r="71" spans="2:17" x14ac:dyDescent="0.45">
      <c r="B71" s="27"/>
      <c r="C71" s="123">
        <f>O47</f>
        <v>4.9095771785029205</v>
      </c>
      <c r="D71" s="42">
        <v>0.13400000000000001</v>
      </c>
      <c r="E71" s="42">
        <v>0.13500000000000001</v>
      </c>
      <c r="F71" s="42">
        <v>0.13600000000000001</v>
      </c>
      <c r="G71" s="42">
        <v>0.13700000000000001</v>
      </c>
      <c r="H71" s="42">
        <v>0.13800000000000001</v>
      </c>
      <c r="I71" s="25"/>
      <c r="J71" s="123">
        <f>O63</f>
        <v>9.595918366672759</v>
      </c>
      <c r="K71" s="42">
        <f>D71</f>
        <v>0.13400000000000001</v>
      </c>
      <c r="L71" s="42">
        <f t="shared" ref="L71:O71" si="12">E71</f>
        <v>0.13500000000000001</v>
      </c>
      <c r="M71" s="42">
        <f t="shared" si="12"/>
        <v>0.13600000000000001</v>
      </c>
      <c r="N71" s="42">
        <f t="shared" si="12"/>
        <v>0.13700000000000001</v>
      </c>
      <c r="O71" s="42">
        <f t="shared" si="12"/>
        <v>0.13800000000000001</v>
      </c>
      <c r="P71" s="25"/>
      <c r="Q71" s="25"/>
    </row>
    <row r="72" spans="2:17" ht="15" customHeight="1" x14ac:dyDescent="0.45">
      <c r="B72" s="227" t="s">
        <v>11</v>
      </c>
      <c r="C72" s="44">
        <v>0.02</v>
      </c>
      <c r="D72" s="27">
        <f t="dataTable" ref="D72:H76" dt2D="1" dtr="1" r1="T38" r2="T39"/>
        <v>4.77404791285191</v>
      </c>
      <c r="E72" s="27">
        <v>4.7462287437992687</v>
      </c>
      <c r="F72" s="27">
        <v>4.718901164258571</v>
      </c>
      <c r="G72" s="27">
        <v>4.6920525189607911</v>
      </c>
      <c r="H72" s="27">
        <v>4.6656705818882456</v>
      </c>
      <c r="I72" s="227" t="s">
        <v>12</v>
      </c>
      <c r="J72" s="45">
        <v>17</v>
      </c>
      <c r="K72" s="46">
        <f t="dataTable" ref="K72:O76" dt2D="1" dtr="1" r1="T38" r2="O50" ca="1"/>
        <v>9.6905817888660675</v>
      </c>
      <c r="L72" s="46">
        <v>9.64838167707582</v>
      </c>
      <c r="M72" s="46">
        <v>9.6064017175175813</v>
      </c>
      <c r="N72" s="46">
        <v>9.5646405649661403</v>
      </c>
      <c r="O72" s="46">
        <v>9.5230968836018963</v>
      </c>
      <c r="P72" s="25"/>
      <c r="Q72" s="25"/>
    </row>
    <row r="73" spans="2:17" x14ac:dyDescent="0.45">
      <c r="B73" s="227"/>
      <c r="C73" s="44">
        <v>2.5000000000000001E-2</v>
      </c>
      <c r="D73" s="27">
        <v>4.8729623953278765</v>
      </c>
      <c r="E73" s="27">
        <v>4.8430497248719995</v>
      </c>
      <c r="F73" s="27">
        <v>4.8136882469729754</v>
      </c>
      <c r="G73" s="27">
        <v>4.7848631461293509</v>
      </c>
      <c r="H73" s="27">
        <v>4.7565601315457151</v>
      </c>
      <c r="I73" s="227"/>
      <c r="J73" s="45">
        <v>22</v>
      </c>
      <c r="K73" s="46">
        <v>9.6905817888660675</v>
      </c>
      <c r="L73" s="47">
        <v>9.64838167707582</v>
      </c>
      <c r="M73" s="47">
        <v>9.6064017175175813</v>
      </c>
      <c r="N73" s="47">
        <v>9.5646405649661403</v>
      </c>
      <c r="O73" s="47">
        <v>9.5230968836018963</v>
      </c>
      <c r="P73" s="25"/>
      <c r="Q73" s="25"/>
    </row>
    <row r="74" spans="2:17" ht="20.100000000000001" customHeight="1" x14ac:dyDescent="0.45">
      <c r="B74" s="227"/>
      <c r="C74" s="124">
        <v>0.03</v>
      </c>
      <c r="D74" s="125">
        <v>4.9813878857342244</v>
      </c>
      <c r="E74" s="125">
        <v>4.9490917517611814</v>
      </c>
      <c r="F74" s="125">
        <v>4.9174175073019448</v>
      </c>
      <c r="G74" s="125">
        <v>4.8863476636874967</v>
      </c>
      <c r="H74" s="125">
        <v>4.8558653802455449</v>
      </c>
      <c r="I74" s="227"/>
      <c r="J74" s="126">
        <f>27</f>
        <v>27</v>
      </c>
      <c r="K74" s="127">
        <v>9.6905817888660675</v>
      </c>
      <c r="L74" s="128">
        <v>9.64838167707582</v>
      </c>
      <c r="M74" s="128">
        <v>9.6064017175175813</v>
      </c>
      <c r="N74" s="128">
        <v>9.5646405649661403</v>
      </c>
      <c r="O74" s="128">
        <v>9.5230968836018963</v>
      </c>
      <c r="P74" s="25"/>
      <c r="Q74" s="25"/>
    </row>
    <row r="75" spans="2:17" ht="20.100000000000001" customHeight="1" x14ac:dyDescent="0.45">
      <c r="B75" s="227"/>
      <c r="C75" s="44">
        <v>3.5000000000000003E-2</v>
      </c>
      <c r="D75" s="27">
        <v>5.1007654458785874</v>
      </c>
      <c r="E75" s="27">
        <v>5.0657379813392813</v>
      </c>
      <c r="F75" s="27">
        <v>5.0314169914258633</v>
      </c>
      <c r="G75" s="27">
        <v>4.9977816437513418</v>
      </c>
      <c r="H75" s="27">
        <v>4.9648119152269103</v>
      </c>
      <c r="I75" s="227"/>
      <c r="J75" s="45">
        <v>32</v>
      </c>
      <c r="K75" s="46">
        <v>9.6905817888660675</v>
      </c>
      <c r="L75" s="47">
        <v>9.64838167707582</v>
      </c>
      <c r="M75" s="47">
        <v>9.6064017175175813</v>
      </c>
      <c r="N75" s="47">
        <v>9.5646405649661403</v>
      </c>
      <c r="O75" s="47">
        <v>9.5230968836018963</v>
      </c>
      <c r="P75" s="25"/>
      <c r="Q75" s="25"/>
    </row>
    <row r="76" spans="2:17" ht="20.100000000000001" customHeight="1" x14ac:dyDescent="0.45">
      <c r="B76" s="227"/>
      <c r="C76" s="44">
        <v>0.04</v>
      </c>
      <c r="D76" s="27">
        <v>5.2328427464638407</v>
      </c>
      <c r="E76" s="27">
        <v>5.194662761399286</v>
      </c>
      <c r="F76" s="27">
        <v>5.1572914218126895</v>
      </c>
      <c r="G76" s="27">
        <v>5.1207036629970286</v>
      </c>
      <c r="H76" s="27">
        <v>5.084875443573722</v>
      </c>
      <c r="I76" s="227"/>
      <c r="J76" s="45">
        <v>37</v>
      </c>
      <c r="K76" s="46">
        <v>9.6905817888660675</v>
      </c>
      <c r="L76" s="47">
        <v>9.64838167707582</v>
      </c>
      <c r="M76" s="47">
        <v>9.6064017175175813</v>
      </c>
      <c r="N76" s="47">
        <v>9.5646405649661403</v>
      </c>
      <c r="O76" s="47">
        <v>9.5230968836018963</v>
      </c>
      <c r="P76" s="25"/>
      <c r="Q76" s="25"/>
    </row>
    <row r="77" spans="2:17" ht="20.100000000000001" customHeight="1" x14ac:dyDescent="0.45">
      <c r="B77" s="28"/>
      <c r="C77" s="29"/>
      <c r="D77" s="25"/>
      <c r="E77" s="25"/>
      <c r="F77" s="25"/>
      <c r="G77" s="25"/>
      <c r="H77" s="25"/>
      <c r="I77" s="30"/>
      <c r="J77" s="25"/>
      <c r="K77" s="25"/>
      <c r="L77" s="25"/>
      <c r="M77" s="25"/>
      <c r="N77" s="25"/>
      <c r="O77" s="25"/>
      <c r="P77" s="25"/>
      <c r="Q77" s="25"/>
    </row>
    <row r="78" spans="2:17" ht="20.100000000000001" customHeight="1" x14ac:dyDescent="0.45">
      <c r="B78" s="28"/>
      <c r="C78" s="29"/>
      <c r="D78" s="25"/>
      <c r="E78" s="25"/>
      <c r="F78" s="25"/>
      <c r="G78" s="25"/>
      <c r="H78" s="25"/>
      <c r="I78" s="25"/>
      <c r="J78" s="25"/>
      <c r="K78" s="41" t="s">
        <v>9</v>
      </c>
      <c r="L78" s="41"/>
      <c r="M78" s="41"/>
      <c r="N78" s="41"/>
      <c r="O78" s="41"/>
      <c r="P78" s="25"/>
      <c r="Q78" s="25"/>
    </row>
    <row r="79" spans="2:17" x14ac:dyDescent="0.45">
      <c r="B79" s="28"/>
      <c r="C79" s="29"/>
      <c r="D79" s="25"/>
      <c r="E79" s="25"/>
      <c r="F79" s="25"/>
      <c r="G79" s="25"/>
      <c r="H79" s="25"/>
      <c r="I79" s="25"/>
      <c r="J79" s="43">
        <f>O63</f>
        <v>9.595918366672759</v>
      </c>
      <c r="K79" s="42">
        <f>K71</f>
        <v>0.13400000000000001</v>
      </c>
      <c r="L79" s="42">
        <f t="shared" ref="L79:O79" si="13">L71</f>
        <v>0.13500000000000001</v>
      </c>
      <c r="M79" s="42">
        <f t="shared" si="13"/>
        <v>0.13600000000000001</v>
      </c>
      <c r="N79" s="42">
        <f t="shared" si="13"/>
        <v>0.13700000000000001</v>
      </c>
      <c r="O79" s="42">
        <f t="shared" si="13"/>
        <v>0.13800000000000001</v>
      </c>
      <c r="P79" s="25"/>
      <c r="Q79" s="25"/>
    </row>
    <row r="80" spans="2:17" x14ac:dyDescent="0.45">
      <c r="B80" s="28"/>
      <c r="C80" s="29"/>
      <c r="D80" s="25"/>
      <c r="E80" s="25"/>
      <c r="F80" s="25"/>
      <c r="G80" s="25"/>
      <c r="H80" s="25"/>
      <c r="I80" s="227" t="s">
        <v>13</v>
      </c>
      <c r="J80" s="48">
        <v>6</v>
      </c>
      <c r="K80" s="46">
        <f t="dataTable" ref="K80:O84" dt2D="1" dtr="1" r1="T38" r2="O52" ca="1"/>
        <v>7.3754922372518781</v>
      </c>
      <c r="L80" s="46">
        <v>7.3434728025158531</v>
      </c>
      <c r="M80" s="46">
        <v>7.311619843428379</v>
      </c>
      <c r="N80" s="46">
        <v>7.279932344645986</v>
      </c>
      <c r="O80" s="46">
        <v>7.2484092979158712</v>
      </c>
      <c r="P80" s="25"/>
      <c r="Q80" s="25"/>
    </row>
    <row r="81" spans="2:17" x14ac:dyDescent="0.45">
      <c r="B81" s="28"/>
      <c r="C81" s="29"/>
      <c r="D81" s="25"/>
      <c r="E81" s="25"/>
      <c r="F81" s="25"/>
      <c r="G81" s="25"/>
      <c r="H81" s="25"/>
      <c r="I81" s="227"/>
      <c r="J81" s="48">
        <v>7</v>
      </c>
      <c r="K81" s="46">
        <v>8.49434470857517</v>
      </c>
      <c r="L81" s="47">
        <v>8.4574050859034688</v>
      </c>
      <c r="M81" s="47">
        <v>8.420657880070376</v>
      </c>
      <c r="N81" s="47">
        <v>8.3841019163048909</v>
      </c>
      <c r="O81" s="47">
        <v>8.3477360280454693</v>
      </c>
      <c r="P81" s="25"/>
      <c r="Q81" s="25"/>
    </row>
    <row r="82" spans="2:17" ht="20.100000000000001" customHeight="1" x14ac:dyDescent="0.45">
      <c r="B82" s="28"/>
      <c r="C82" s="29"/>
      <c r="D82" s="25"/>
      <c r="E82" s="25"/>
      <c r="F82" s="25"/>
      <c r="G82" s="25"/>
      <c r="H82" s="25"/>
      <c r="I82" s="227"/>
      <c r="J82" s="129">
        <f>O52</f>
        <v>8.0691642651296824</v>
      </c>
      <c r="K82" s="127">
        <v>8.49434470857517</v>
      </c>
      <c r="L82" s="128">
        <v>8.4574050859034688</v>
      </c>
      <c r="M82" s="128">
        <v>8.420657880070376</v>
      </c>
      <c r="N82" s="128">
        <v>8.3841019163048909</v>
      </c>
      <c r="O82" s="128">
        <v>8.3477360280454693</v>
      </c>
      <c r="P82" s="25"/>
      <c r="Q82" s="25"/>
    </row>
    <row r="83" spans="2:17" ht="20.100000000000001" customHeight="1" x14ac:dyDescent="0.45">
      <c r="B83" s="28"/>
      <c r="C83" s="29"/>
      <c r="D83" s="25"/>
      <c r="E83" s="25"/>
      <c r="F83" s="25"/>
      <c r="G83" s="25"/>
      <c r="H83" s="25"/>
      <c r="I83" s="227"/>
      <c r="J83" s="48">
        <v>9</v>
      </c>
      <c r="K83" s="46">
        <v>10.732049651221756</v>
      </c>
      <c r="L83" s="47">
        <v>10.685269652678704</v>
      </c>
      <c r="M83" s="47">
        <v>10.63873395335437</v>
      </c>
      <c r="N83" s="47">
        <v>10.592441059622701</v>
      </c>
      <c r="O83" s="47">
        <v>10.546389488304664</v>
      </c>
      <c r="P83" s="25"/>
      <c r="Q83" s="25"/>
    </row>
    <row r="84" spans="2:17" ht="20.100000000000001" customHeight="1" x14ac:dyDescent="0.45">
      <c r="B84" s="28"/>
      <c r="C84" s="29"/>
      <c r="D84" s="25"/>
      <c r="E84" s="25"/>
      <c r="F84" s="25"/>
      <c r="G84" s="25"/>
      <c r="H84" s="25"/>
      <c r="I84" s="227"/>
      <c r="J84" s="48">
        <v>10</v>
      </c>
      <c r="K84" s="46">
        <v>11.850902122545047</v>
      </c>
      <c r="L84" s="47">
        <v>11.799201936066318</v>
      </c>
      <c r="M84" s="47">
        <v>11.747771989996366</v>
      </c>
      <c r="N84" s="47">
        <v>11.696610631281606</v>
      </c>
      <c r="O84" s="47">
        <v>11.645716218434263</v>
      </c>
      <c r="P84" s="25"/>
      <c r="Q84" s="25"/>
    </row>
    <row r="85" spans="2:17" ht="20.100000000000001" customHeight="1" x14ac:dyDescent="0.45">
      <c r="B85" s="28"/>
      <c r="C85" s="29"/>
      <c r="D85" s="25"/>
      <c r="E85" s="25"/>
      <c r="F85" s="25"/>
      <c r="G85" s="25"/>
      <c r="H85" s="25"/>
      <c r="I85" s="30"/>
      <c r="J85" s="25"/>
      <c r="K85" s="25"/>
      <c r="L85" s="25"/>
      <c r="M85" s="25"/>
      <c r="N85" s="25"/>
      <c r="O85" s="25"/>
      <c r="P85" s="25"/>
      <c r="Q85" s="25"/>
    </row>
    <row r="86" spans="2:17" ht="20.100000000000001" customHeight="1" x14ac:dyDescent="0.45">
      <c r="B86" s="28"/>
      <c r="C86" s="29"/>
      <c r="D86" s="25"/>
      <c r="E86" s="25"/>
      <c r="F86" s="25"/>
      <c r="G86" s="25"/>
      <c r="H86" s="25"/>
      <c r="I86" s="30"/>
      <c r="J86" s="25"/>
      <c r="K86" s="25"/>
      <c r="L86" s="25"/>
      <c r="M86" s="25"/>
      <c r="N86" s="25"/>
      <c r="O86" s="25"/>
      <c r="P86" s="25"/>
      <c r="Q86" s="25"/>
    </row>
  </sheetData>
  <mergeCells count="11">
    <mergeCell ref="B6:C6"/>
    <mergeCell ref="H6:L6"/>
    <mergeCell ref="B5:F5"/>
    <mergeCell ref="E6:F6"/>
    <mergeCell ref="Q40:W42"/>
    <mergeCell ref="U36:V36"/>
    <mergeCell ref="B72:B76"/>
    <mergeCell ref="I72:I76"/>
    <mergeCell ref="I80:I84"/>
    <mergeCell ref="B18:F18"/>
    <mergeCell ref="B67:Q67"/>
  </mergeCells>
  <conditionalFormatting sqref="K72:O76">
    <cfRule type="expression" dxfId="1" priority="3">
      <formula>#REF!</formula>
    </cfRule>
  </conditionalFormatting>
  <conditionalFormatting sqref="K80:O84">
    <cfRule type="expression" dxfId="0" priority="4">
      <formula>NOT(#REF!)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6341-0ED0-4B92-A2C2-8486ABD56165}">
  <dimension ref="B1:AC49"/>
  <sheetViews>
    <sheetView showGridLines="0" showRuler="0" zoomScale="70" zoomScaleNormal="82" zoomScalePageLayoutView="42" workbookViewId="0">
      <selection activeCell="E8" sqref="E8"/>
    </sheetView>
  </sheetViews>
  <sheetFormatPr defaultRowHeight="14.25" x14ac:dyDescent="0.45"/>
  <cols>
    <col min="1" max="1" width="2.265625" customWidth="1"/>
    <col min="3" max="3" width="13.86328125" customWidth="1"/>
    <col min="4" max="4" width="10.265625" customWidth="1"/>
    <col min="5" max="5" width="12" customWidth="1"/>
    <col min="6" max="6" width="13.59765625" customWidth="1"/>
    <col min="7" max="7" width="10.265625" customWidth="1"/>
    <col min="8" max="8" width="8.3984375" bestFit="1" customWidth="1"/>
    <col min="9" max="9" width="10.1328125" customWidth="1"/>
    <col min="10" max="12" width="10.265625" customWidth="1"/>
    <col min="13" max="13" width="10.59765625" customWidth="1"/>
    <col min="14" max="15" width="10.265625" customWidth="1"/>
    <col min="16" max="16" width="5" bestFit="1" customWidth="1"/>
    <col min="17" max="17" width="10.265625" customWidth="1"/>
    <col min="18" max="18" width="7.86328125" bestFit="1" customWidth="1"/>
    <col min="20" max="21" width="9.59765625" bestFit="1" customWidth="1"/>
    <col min="22" max="22" width="9.73046875" customWidth="1"/>
    <col min="23" max="23" width="4.3984375" customWidth="1"/>
    <col min="26" max="26" width="10.796875" customWidth="1"/>
  </cols>
  <sheetData>
    <row r="1" spans="2:29" ht="7.5" customHeight="1" x14ac:dyDescent="0.45"/>
    <row r="2" spans="2:29" ht="18" x14ac:dyDescent="0.55000000000000004">
      <c r="B2" s="232" t="s">
        <v>71</v>
      </c>
      <c r="C2" s="232"/>
      <c r="D2" s="232"/>
      <c r="E2" s="232"/>
      <c r="F2" s="232"/>
    </row>
    <row r="3" spans="2:29" x14ac:dyDescent="0.45">
      <c r="B3" s="230" t="s">
        <v>0</v>
      </c>
      <c r="C3" s="230"/>
      <c r="D3" s="82"/>
      <c r="E3" s="230" t="s">
        <v>116</v>
      </c>
      <c r="F3" s="230"/>
    </row>
    <row r="4" spans="2:29" x14ac:dyDescent="0.45">
      <c r="B4" s="13" t="s">
        <v>72</v>
      </c>
      <c r="C4" s="32"/>
      <c r="D4" s="13"/>
      <c r="E4" s="13"/>
      <c r="F4" s="14"/>
    </row>
    <row r="5" spans="2:29" x14ac:dyDescent="0.45">
      <c r="B5" s="94" t="s">
        <v>2</v>
      </c>
      <c r="C5" s="32"/>
      <c r="D5" s="13"/>
      <c r="E5" s="119">
        <v>45747</v>
      </c>
      <c r="F5" s="105"/>
    </row>
    <row r="6" spans="2:29" x14ac:dyDescent="0.45">
      <c r="B6" s="94" t="s">
        <v>61</v>
      </c>
      <c r="C6" s="95"/>
      <c r="D6" s="16"/>
      <c r="E6" s="108">
        <f>'Discounted Cash Flow '!E9</f>
        <v>1.95</v>
      </c>
      <c r="F6" s="108"/>
    </row>
    <row r="7" spans="2:29" ht="15.75" customHeight="1" x14ac:dyDescent="0.45">
      <c r="B7" s="94" t="s">
        <v>137</v>
      </c>
      <c r="C7" s="95"/>
      <c r="D7" s="16"/>
      <c r="E7" s="237">
        <v>5.74</v>
      </c>
      <c r="F7" s="104"/>
    </row>
    <row r="8" spans="2:29" ht="15.75" customHeight="1" x14ac:dyDescent="0.45">
      <c r="B8" s="94" t="s">
        <v>102</v>
      </c>
      <c r="C8" s="95"/>
      <c r="D8" s="16"/>
      <c r="E8" s="104">
        <f>Y37</f>
        <v>10.50239040660737</v>
      </c>
      <c r="F8" s="109"/>
    </row>
    <row r="9" spans="2:29" ht="15.75" customHeight="1" x14ac:dyDescent="0.45">
      <c r="B9" s="106" t="s">
        <v>60</v>
      </c>
      <c r="C9" s="32"/>
      <c r="D9" s="13"/>
      <c r="E9" s="109">
        <f>E8/E7-1</f>
        <v>0.82968473982706792</v>
      </c>
      <c r="F9" s="107"/>
    </row>
    <row r="10" spans="2:29" ht="15.75" customHeight="1" x14ac:dyDescent="0.45">
      <c r="B10" s="16" t="s">
        <v>3</v>
      </c>
      <c r="C10" s="95"/>
      <c r="D10" s="16"/>
      <c r="E10" s="176">
        <f>'Discounted Cash Flow '!E13</f>
        <v>629.6</v>
      </c>
      <c r="F10" s="16"/>
    </row>
    <row r="11" spans="2:29" ht="15.75" customHeight="1" x14ac:dyDescent="0.45">
      <c r="B11" s="15" t="s">
        <v>4</v>
      </c>
      <c r="C11" s="33"/>
      <c r="D11" s="16"/>
      <c r="E11" s="16"/>
      <c r="F11" s="16"/>
    </row>
    <row r="12" spans="2:29" ht="15.75" customHeight="1" x14ac:dyDescent="0.45">
      <c r="B12" s="130"/>
      <c r="C12" s="49"/>
      <c r="D12" s="49"/>
      <c r="E12" s="49"/>
    </row>
    <row r="13" spans="2:29" ht="11.25" customHeight="1" x14ac:dyDescent="0.45">
      <c r="L13" s="60"/>
      <c r="M13" s="60"/>
      <c r="N13" s="60"/>
    </row>
    <row r="14" spans="2:29" ht="33" customHeight="1" x14ac:dyDescent="0.45">
      <c r="B14" s="131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4" t="s">
        <v>75</v>
      </c>
      <c r="Y14" s="134"/>
      <c r="Z14" s="134"/>
      <c r="AA14" s="134"/>
      <c r="AB14" s="134"/>
      <c r="AC14" s="134"/>
    </row>
    <row r="15" spans="2:29" ht="15" customHeight="1" x14ac:dyDescent="0.45">
      <c r="B15" s="172"/>
      <c r="C15" s="131"/>
      <c r="D15" s="133" t="s">
        <v>76</v>
      </c>
      <c r="E15" s="133" t="s">
        <v>73</v>
      </c>
      <c r="F15" s="133" t="s">
        <v>77</v>
      </c>
      <c r="G15" s="133" t="s">
        <v>78</v>
      </c>
      <c r="H15" s="134"/>
      <c r="I15" s="134" t="s">
        <v>6</v>
      </c>
      <c r="J15" s="134"/>
      <c r="K15" s="134"/>
      <c r="L15" s="134" t="s">
        <v>18</v>
      </c>
      <c r="M15" s="134"/>
      <c r="N15" s="134" t="s">
        <v>74</v>
      </c>
      <c r="O15" s="134"/>
      <c r="P15" s="133"/>
      <c r="Q15" s="134" t="s">
        <v>79</v>
      </c>
      <c r="R15" s="134"/>
      <c r="S15" s="134" t="s">
        <v>80</v>
      </c>
      <c r="T15" s="134"/>
      <c r="U15" s="134" t="s">
        <v>81</v>
      </c>
      <c r="V15" s="134"/>
      <c r="W15" s="133"/>
      <c r="X15" s="134" t="s">
        <v>82</v>
      </c>
      <c r="Y15" s="134"/>
      <c r="Z15" s="134" t="s">
        <v>83</v>
      </c>
      <c r="AA15" s="134"/>
      <c r="AB15" s="134" t="s">
        <v>84</v>
      </c>
      <c r="AC15" s="134"/>
    </row>
    <row r="16" spans="2:29" ht="15" customHeight="1" x14ac:dyDescent="0.45">
      <c r="B16" s="135" t="s">
        <v>1</v>
      </c>
      <c r="C16" s="135" t="s">
        <v>0</v>
      </c>
      <c r="D16" s="136" t="s">
        <v>85</v>
      </c>
      <c r="E16" s="136" t="s">
        <v>86</v>
      </c>
      <c r="F16" s="136" t="s">
        <v>87</v>
      </c>
      <c r="G16" s="136" t="s">
        <v>88</v>
      </c>
      <c r="H16" s="137"/>
      <c r="I16" s="137">
        <v>2023</v>
      </c>
      <c r="J16" s="137">
        <v>2024</v>
      </c>
      <c r="K16" s="137">
        <v>2025</v>
      </c>
      <c r="L16" s="137">
        <v>2024</v>
      </c>
      <c r="M16" s="137">
        <v>2025</v>
      </c>
      <c r="N16" s="137">
        <f>L16</f>
        <v>2024</v>
      </c>
      <c r="O16" s="137">
        <f>M16</f>
        <v>2025</v>
      </c>
      <c r="P16" s="136"/>
      <c r="Q16" s="137" t="s">
        <v>98</v>
      </c>
      <c r="R16" s="137" t="s">
        <v>99</v>
      </c>
      <c r="S16" s="137" t="s">
        <v>101</v>
      </c>
      <c r="T16" s="137" t="s">
        <v>100</v>
      </c>
      <c r="U16" s="137" t="str">
        <f>S16</f>
        <v>'20</v>
      </c>
      <c r="V16" s="137" t="str">
        <f>T16</f>
        <v>'21</v>
      </c>
      <c r="W16" s="137"/>
      <c r="X16" s="137" t="str">
        <f>S16</f>
        <v>'20</v>
      </c>
      <c r="Y16" s="137" t="str">
        <f>T16</f>
        <v>'21</v>
      </c>
      <c r="Z16" s="137" t="str">
        <f t="shared" ref="Z16:AA16" si="0">U16</f>
        <v>'20</v>
      </c>
      <c r="AA16" s="137" t="str">
        <f t="shared" si="0"/>
        <v>'21</v>
      </c>
      <c r="AB16" s="137" t="str">
        <f>X16</f>
        <v>'20</v>
      </c>
      <c r="AC16" s="137" t="str">
        <f>Y16</f>
        <v>'21</v>
      </c>
    </row>
    <row r="17" spans="2:29" ht="15" customHeight="1" x14ac:dyDescent="0.45">
      <c r="B17" s="138"/>
      <c r="C17" s="138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</row>
    <row r="18" spans="2:29" ht="15" customHeight="1" x14ac:dyDescent="0.5">
      <c r="B18" s="170" t="s">
        <v>115</v>
      </c>
      <c r="C18" s="141" t="s">
        <v>117</v>
      </c>
      <c r="D18" s="173">
        <f>5.74</f>
        <v>5.74</v>
      </c>
      <c r="E18" s="142">
        <f>E10</f>
        <v>629.6</v>
      </c>
      <c r="F18" s="142">
        <f>4150</f>
        <v>4150</v>
      </c>
      <c r="G18" s="142">
        <f>D18*E18</f>
        <v>3613.9040000000005</v>
      </c>
      <c r="H18" s="143"/>
      <c r="I18" s="142">
        <f>'Discounted Cash Flow '!H21</f>
        <v>146.37</v>
      </c>
      <c r="J18" s="203">
        <f>'Discounted Cash Flow '!I21</f>
        <v>133.27000000000001</v>
      </c>
      <c r="K18" s="203">
        <f>'Discounted Cash Flow '!J21</f>
        <v>229.28</v>
      </c>
      <c r="L18" s="204">
        <f>'Discounted Cash Flow '!I30</f>
        <v>57.849999999999994</v>
      </c>
      <c r="M18" s="204">
        <f>'Discounted Cash Flow '!J30</f>
        <v>25.61</v>
      </c>
      <c r="N18" s="204">
        <f>15</f>
        <v>15</v>
      </c>
      <c r="O18" s="203">
        <f>-81</f>
        <v>-81</v>
      </c>
      <c r="P18" s="143"/>
      <c r="Q18" s="143">
        <f>J18/I18 -1</f>
        <v>-8.9499214319874287E-2</v>
      </c>
      <c r="R18" s="143">
        <f>K18/J18-1</f>
        <v>0.7204171981691303</v>
      </c>
      <c r="S18" s="143">
        <f>L18/J18</f>
        <v>0.43408118856456812</v>
      </c>
      <c r="T18" s="143">
        <f>M18/K18</f>
        <v>0.11169748778785764</v>
      </c>
      <c r="U18" s="143">
        <f>N18/J18</f>
        <v>0.11255346289487506</v>
      </c>
      <c r="V18" s="143">
        <f>O18/K18</f>
        <v>-0.35327983251919048</v>
      </c>
      <c r="W18" s="143"/>
      <c r="X18" s="144">
        <f>$F$18/J18</f>
        <v>31.139791400915431</v>
      </c>
      <c r="Y18" s="144">
        <f>$F$18/K18</f>
        <v>18.100139567341241</v>
      </c>
      <c r="Z18" s="144">
        <f>$F18/L18</f>
        <v>71.737251512532424</v>
      </c>
      <c r="AA18" s="144">
        <f>$F18/M18</f>
        <v>162.04607575165952</v>
      </c>
      <c r="AB18" s="144">
        <f>$G$18/N18</f>
        <v>240.92693333333335</v>
      </c>
      <c r="AC18" s="201">
        <f>$G$18/O18</f>
        <v>-44.616098765432106</v>
      </c>
    </row>
    <row r="19" spans="2:29" ht="15" customHeight="1" x14ac:dyDescent="0.5">
      <c r="B19" s="171"/>
      <c r="D19" s="60"/>
      <c r="E19" s="175"/>
      <c r="F19" s="146"/>
      <c r="G19" s="146"/>
      <c r="H19" s="147"/>
      <c r="I19" s="146"/>
      <c r="J19" s="178"/>
      <c r="K19" s="146"/>
      <c r="L19" s="146"/>
      <c r="M19" s="178"/>
      <c r="N19" s="178"/>
      <c r="O19" s="146"/>
      <c r="P19" s="147"/>
      <c r="Q19" s="147"/>
      <c r="R19" s="147"/>
      <c r="S19" s="147"/>
      <c r="T19" s="147"/>
      <c r="U19" s="147"/>
      <c r="V19" s="147"/>
      <c r="W19" s="147"/>
      <c r="X19" s="148"/>
      <c r="Y19" s="148"/>
      <c r="Z19" s="148"/>
      <c r="AA19" s="148"/>
      <c r="AB19" s="148"/>
      <c r="AC19" s="148"/>
    </row>
    <row r="20" spans="2:29" ht="15" customHeight="1" x14ac:dyDescent="0.5">
      <c r="B20" s="171" t="s">
        <v>119</v>
      </c>
      <c r="C20" t="s">
        <v>118</v>
      </c>
      <c r="D20" s="174">
        <v>45.73</v>
      </c>
      <c r="E20" s="146">
        <f>332.3</f>
        <v>332.3</v>
      </c>
      <c r="F20" s="146">
        <f>15600</f>
        <v>15600</v>
      </c>
      <c r="G20" s="142">
        <f>D20*E20</f>
        <v>15196.079</v>
      </c>
      <c r="I20" s="202">
        <f>75.5</f>
        <v>75.5</v>
      </c>
      <c r="J20" s="146">
        <f>298</f>
        <v>298</v>
      </c>
      <c r="K20" s="202">
        <f>549.3</f>
        <v>549.29999999999995</v>
      </c>
      <c r="L20" s="146">
        <f>131</f>
        <v>131</v>
      </c>
      <c r="M20" s="146">
        <f>317</f>
        <v>317</v>
      </c>
      <c r="N20" s="146">
        <v>384.6</v>
      </c>
      <c r="O20" s="146">
        <f>227</f>
        <v>227</v>
      </c>
      <c r="P20" s="149"/>
      <c r="Q20" s="149">
        <f t="shared" ref="Q20:R27" si="1">J20/I20-1</f>
        <v>2.947019867549669</v>
      </c>
      <c r="R20" s="149">
        <f t="shared" si="1"/>
        <v>0.84328859060402661</v>
      </c>
      <c r="S20" s="149">
        <f t="shared" ref="S20:T27" si="2">L20/J20</f>
        <v>0.43959731543624159</v>
      </c>
      <c r="T20" s="149">
        <f t="shared" si="2"/>
        <v>0.57709812488621892</v>
      </c>
      <c r="U20" s="149">
        <f t="shared" ref="U20:V27" si="3">N20/J20</f>
        <v>1.2906040268456376</v>
      </c>
      <c r="V20" s="149">
        <f t="shared" si="3"/>
        <v>0.41325323138539966</v>
      </c>
      <c r="W20" s="149"/>
      <c r="X20" s="148">
        <f>$F$20/J20</f>
        <v>52.348993288590606</v>
      </c>
      <c r="Y20" s="148">
        <f>$F$20/K20</f>
        <v>28.399781540142001</v>
      </c>
      <c r="Z20" s="148">
        <f t="shared" ref="Z20:AA21" si="4">$F20/L20</f>
        <v>119.08396946564885</v>
      </c>
      <c r="AA20" s="148">
        <f t="shared" si="4"/>
        <v>49.211356466876971</v>
      </c>
      <c r="AB20" s="148">
        <f>$G$20/N20</f>
        <v>39.511385855434213</v>
      </c>
      <c r="AC20" s="148">
        <f>$G$20/O20</f>
        <v>66.943079295154178</v>
      </c>
    </row>
    <row r="21" spans="2:29" ht="15" customHeight="1" x14ac:dyDescent="0.5">
      <c r="B21" s="171" t="s">
        <v>120</v>
      </c>
      <c r="C21" t="s">
        <v>132</v>
      </c>
      <c r="D21" s="174">
        <f>13.98</f>
        <v>13.98</v>
      </c>
      <c r="E21" s="146">
        <f>282</f>
        <v>282</v>
      </c>
      <c r="F21" s="146">
        <f>4200</f>
        <v>4200</v>
      </c>
      <c r="G21" s="142">
        <f t="shared" ref="G21:G27" si="5">D21*E21</f>
        <v>3942.36</v>
      </c>
      <c r="I21" s="165">
        <f>221.1</f>
        <v>221.1</v>
      </c>
      <c r="J21" s="202">
        <f>22.1</f>
        <v>22.1</v>
      </c>
      <c r="K21" s="165">
        <f>364</f>
        <v>364</v>
      </c>
      <c r="L21" s="146">
        <f>24.5</f>
        <v>24.5</v>
      </c>
      <c r="M21" s="146">
        <f>16</f>
        <v>16</v>
      </c>
      <c r="N21" s="146">
        <f>-171</f>
        <v>-171</v>
      </c>
      <c r="O21" s="146">
        <f>-324</f>
        <v>-324</v>
      </c>
      <c r="P21" s="149"/>
      <c r="Q21" s="149">
        <f t="shared" si="1"/>
        <v>-0.90004522840343737</v>
      </c>
      <c r="R21" s="149">
        <f t="shared" si="1"/>
        <v>15.470588235294116</v>
      </c>
      <c r="S21" s="149">
        <f t="shared" si="2"/>
        <v>1.1085972850678731</v>
      </c>
      <c r="T21" s="149">
        <f t="shared" si="2"/>
        <v>4.3956043956043959E-2</v>
      </c>
      <c r="U21" s="149">
        <f t="shared" si="3"/>
        <v>-7.737556561085972</v>
      </c>
      <c r="V21" s="149">
        <f t="shared" si="3"/>
        <v>-0.89010989010989006</v>
      </c>
      <c r="W21" s="149"/>
      <c r="X21" s="148">
        <f>$F$21/J21</f>
        <v>190.04524886877826</v>
      </c>
      <c r="Y21" s="148">
        <f>$F$21/K21</f>
        <v>11.538461538461538</v>
      </c>
      <c r="Z21" s="148">
        <f t="shared" si="4"/>
        <v>171.42857142857142</v>
      </c>
      <c r="AA21" s="148">
        <f t="shared" si="4"/>
        <v>262.5</v>
      </c>
      <c r="AB21" s="148">
        <f>$G21/N21</f>
        <v>-23.054736842105264</v>
      </c>
      <c r="AC21" s="148">
        <f>$G21/O21</f>
        <v>-12.167777777777777</v>
      </c>
    </row>
    <row r="22" spans="2:29" ht="15" customHeight="1" x14ac:dyDescent="0.5">
      <c r="B22" s="171" t="s">
        <v>121</v>
      </c>
      <c r="C22" t="s">
        <v>131</v>
      </c>
      <c r="D22" s="174">
        <f>26.68</f>
        <v>26.68</v>
      </c>
      <c r="E22" s="146">
        <f>385</f>
        <v>385</v>
      </c>
      <c r="F22" s="146">
        <f>8900</f>
        <v>8900</v>
      </c>
      <c r="G22" s="142">
        <f>D22*E22</f>
        <v>10271.799999999999</v>
      </c>
      <c r="I22" s="165">
        <f>502.4</f>
        <v>502.4</v>
      </c>
      <c r="J22" s="165">
        <f>510.7</f>
        <v>510.7</v>
      </c>
      <c r="K22" s="165">
        <f>319</f>
        <v>319</v>
      </c>
      <c r="L22" s="202">
        <f>170</f>
        <v>170</v>
      </c>
      <c r="M22" s="146">
        <f>143</f>
        <v>143</v>
      </c>
      <c r="N22" s="146">
        <f>580</f>
        <v>580</v>
      </c>
      <c r="O22" s="146">
        <f>-1157</f>
        <v>-1157</v>
      </c>
      <c r="P22" s="149"/>
      <c r="Q22" s="149">
        <f t="shared" si="1"/>
        <v>1.6520700636942776E-2</v>
      </c>
      <c r="R22" s="149">
        <f t="shared" si="1"/>
        <v>-0.37536714313687092</v>
      </c>
      <c r="S22" s="149">
        <f t="shared" si="2"/>
        <v>0.33287644409633838</v>
      </c>
      <c r="T22" s="149">
        <f t="shared" si="2"/>
        <v>0.44827586206896552</v>
      </c>
      <c r="U22" s="149">
        <f t="shared" si="3"/>
        <v>1.1356961033875073</v>
      </c>
      <c r="V22" s="149">
        <f t="shared" si="3"/>
        <v>-3.626959247648903</v>
      </c>
      <c r="W22" s="149"/>
      <c r="X22" s="148">
        <f>$F$22/J22</f>
        <v>17.427060896808303</v>
      </c>
      <c r="Y22" s="148">
        <f>$F$22/K22</f>
        <v>27.899686520376175</v>
      </c>
      <c r="Z22" s="148">
        <f>$F$22/L22</f>
        <v>52.352941176470587</v>
      </c>
      <c r="AA22" s="148">
        <f>$F$22/M22</f>
        <v>62.23776223776224</v>
      </c>
      <c r="AB22" s="148">
        <f>$G$22/N22</f>
        <v>17.709999999999997</v>
      </c>
      <c r="AC22" s="148">
        <f>$G$22/O22</f>
        <v>-8.8779602420051855</v>
      </c>
    </row>
    <row r="23" spans="2:29" ht="15" customHeight="1" x14ac:dyDescent="0.5">
      <c r="B23" s="171" t="s">
        <v>122</v>
      </c>
      <c r="C23" t="s">
        <v>130</v>
      </c>
      <c r="D23" s="174">
        <f>17.63</f>
        <v>17.63</v>
      </c>
      <c r="E23" s="146">
        <f>357</f>
        <v>357</v>
      </c>
      <c r="F23" s="146">
        <f>6700</f>
        <v>6700</v>
      </c>
      <c r="G23" s="142">
        <f t="shared" si="5"/>
        <v>6293.91</v>
      </c>
      <c r="I23" s="165">
        <f>151</f>
        <v>151</v>
      </c>
      <c r="J23" s="165">
        <v>151.4</v>
      </c>
      <c r="K23" s="202">
        <f>119</f>
        <v>119</v>
      </c>
      <c r="L23" s="202">
        <f>73</f>
        <v>73</v>
      </c>
      <c r="M23" s="146">
        <f>107</f>
        <v>107</v>
      </c>
      <c r="N23" s="146">
        <f>-44</f>
        <v>-44</v>
      </c>
      <c r="O23" s="146">
        <f>-58</f>
        <v>-58</v>
      </c>
      <c r="P23" s="149"/>
      <c r="Q23" s="149">
        <f t="shared" si="1"/>
        <v>2.6490066225166586E-3</v>
      </c>
      <c r="R23" s="149">
        <f t="shared" si="1"/>
        <v>-0.21400264200792607</v>
      </c>
      <c r="S23" s="149">
        <f t="shared" si="2"/>
        <v>0.48216644649933948</v>
      </c>
      <c r="T23" s="149">
        <f t="shared" si="2"/>
        <v>0.89915966386554624</v>
      </c>
      <c r="U23" s="149">
        <f t="shared" si="3"/>
        <v>-0.29062087186261559</v>
      </c>
      <c r="V23" s="149">
        <f t="shared" si="3"/>
        <v>-0.48739495798319327</v>
      </c>
      <c r="W23" s="149"/>
      <c r="X23" s="148">
        <f t="shared" ref="X23:Y25" si="6">$F23/J23</f>
        <v>44.253632760898284</v>
      </c>
      <c r="Y23" s="148">
        <f t="shared" si="6"/>
        <v>56.30252100840336</v>
      </c>
      <c r="Z23" s="148">
        <f t="shared" ref="Z23:AA25" si="7">$F23/L23</f>
        <v>91.780821917808225</v>
      </c>
      <c r="AA23" s="148">
        <f t="shared" si="7"/>
        <v>62.616822429906541</v>
      </c>
      <c r="AB23" s="148">
        <f t="shared" ref="AB23:AC25" si="8">$G23/N23</f>
        <v>-143.04340909090908</v>
      </c>
      <c r="AC23" s="148">
        <f t="shared" si="8"/>
        <v>-108.51568965517241</v>
      </c>
    </row>
    <row r="24" spans="2:29" ht="15" customHeight="1" x14ac:dyDescent="0.5">
      <c r="B24" s="171" t="s">
        <v>123</v>
      </c>
      <c r="C24" t="s">
        <v>129</v>
      </c>
      <c r="D24" s="174">
        <f>36.21</f>
        <v>36.21</v>
      </c>
      <c r="E24" s="146">
        <f>110</f>
        <v>110</v>
      </c>
      <c r="F24" s="146">
        <f>4300</f>
        <v>4300</v>
      </c>
      <c r="G24" s="142">
        <f t="shared" si="5"/>
        <v>3983.1</v>
      </c>
      <c r="I24" s="165">
        <f>96.6</f>
        <v>96.6</v>
      </c>
      <c r="J24" s="165">
        <v>162.4</v>
      </c>
      <c r="K24" s="165">
        <f>229</f>
        <v>229</v>
      </c>
      <c r="L24" s="202">
        <f>44</f>
        <v>44</v>
      </c>
      <c r="M24" s="146">
        <f>74</f>
        <v>74</v>
      </c>
      <c r="N24" s="146">
        <f>331</f>
        <v>331</v>
      </c>
      <c r="O24" s="146">
        <f>-92</f>
        <v>-92</v>
      </c>
      <c r="P24" s="149"/>
      <c r="Q24" s="149">
        <f t="shared" si="1"/>
        <v>0.68115942028985521</v>
      </c>
      <c r="R24" s="149">
        <f t="shared" si="1"/>
        <v>0.41009852216748754</v>
      </c>
      <c r="S24" s="149">
        <f t="shared" si="2"/>
        <v>0.27093596059113301</v>
      </c>
      <c r="T24" s="149">
        <f t="shared" si="2"/>
        <v>0.32314410480349343</v>
      </c>
      <c r="U24" s="149">
        <f t="shared" si="3"/>
        <v>2.0381773399014778</v>
      </c>
      <c r="V24" s="149">
        <f t="shared" si="3"/>
        <v>-0.40174672489082969</v>
      </c>
      <c r="W24" s="149"/>
      <c r="X24" s="148">
        <f t="shared" si="6"/>
        <v>26.47783251231527</v>
      </c>
      <c r="Y24" s="148">
        <f t="shared" si="6"/>
        <v>18.777292576419214</v>
      </c>
      <c r="Z24" s="148">
        <f t="shared" si="7"/>
        <v>97.727272727272734</v>
      </c>
      <c r="AA24" s="148">
        <f t="shared" si="7"/>
        <v>58.108108108108105</v>
      </c>
      <c r="AB24" s="148">
        <f t="shared" si="8"/>
        <v>12.033534743202416</v>
      </c>
      <c r="AC24" s="148">
        <f t="shared" si="8"/>
        <v>-43.294565217391302</v>
      </c>
    </row>
    <row r="25" spans="2:29" ht="15.75" x14ac:dyDescent="0.5">
      <c r="B25" s="171" t="s">
        <v>124</v>
      </c>
      <c r="C25" t="s">
        <v>128</v>
      </c>
      <c r="D25" s="174">
        <f>28.41</f>
        <v>28.41</v>
      </c>
      <c r="E25" s="146">
        <f>376</f>
        <v>376</v>
      </c>
      <c r="F25" s="146">
        <v>10700</v>
      </c>
      <c r="G25" s="142">
        <f t="shared" si="5"/>
        <v>10682.16</v>
      </c>
      <c r="I25" s="202">
        <f>280.7</f>
        <v>280.7</v>
      </c>
      <c r="J25" s="202">
        <v>376.7</v>
      </c>
      <c r="K25" s="165">
        <f>647.4</f>
        <v>647.4</v>
      </c>
      <c r="L25" s="146">
        <f>165</f>
        <v>165</v>
      </c>
      <c r="M25" s="146">
        <f>-72</f>
        <v>-72</v>
      </c>
      <c r="N25" s="146">
        <f>109.4</f>
        <v>109.4</v>
      </c>
      <c r="O25" s="146">
        <f>663.2</f>
        <v>663.2</v>
      </c>
      <c r="P25" s="149"/>
      <c r="Q25" s="149">
        <f t="shared" si="1"/>
        <v>0.34200213751335951</v>
      </c>
      <c r="R25" s="149">
        <f t="shared" si="1"/>
        <v>0.71860897265728685</v>
      </c>
      <c r="S25" s="149">
        <f t="shared" si="2"/>
        <v>0.43801433501460046</v>
      </c>
      <c r="T25" s="149">
        <f t="shared" si="2"/>
        <v>-0.11121408711770157</v>
      </c>
      <c r="U25" s="149">
        <f t="shared" si="3"/>
        <v>0.29041677727634724</v>
      </c>
      <c r="V25" s="149">
        <f t="shared" si="3"/>
        <v>1.0244053135619402</v>
      </c>
      <c r="W25" s="149"/>
      <c r="X25" s="148">
        <f t="shared" si="6"/>
        <v>28.404565967613486</v>
      </c>
      <c r="Y25" s="148">
        <f t="shared" si="6"/>
        <v>16.527649057769541</v>
      </c>
      <c r="Z25" s="148">
        <f t="shared" si="7"/>
        <v>64.848484848484844</v>
      </c>
      <c r="AA25" s="148">
        <f t="shared" si="7"/>
        <v>-148.61111111111111</v>
      </c>
      <c r="AB25" s="148">
        <f>$G25/N25</f>
        <v>97.64314442413162</v>
      </c>
      <c r="AC25" s="148">
        <f t="shared" si="8"/>
        <v>16.106996381182146</v>
      </c>
    </row>
    <row r="26" spans="2:29" ht="15.75" x14ac:dyDescent="0.5">
      <c r="B26" s="171" t="s">
        <v>125</v>
      </c>
      <c r="C26" t="s">
        <v>133</v>
      </c>
      <c r="D26" s="174">
        <f>17.72</f>
        <v>17.72</v>
      </c>
      <c r="E26" s="146">
        <f>315</f>
        <v>315</v>
      </c>
      <c r="F26" s="146">
        <f>5600</f>
        <v>5600</v>
      </c>
      <c r="G26" s="142">
        <f t="shared" si="5"/>
        <v>5581.7999999999993</v>
      </c>
      <c r="I26" s="202">
        <f>168.4</f>
        <v>168.4</v>
      </c>
      <c r="J26" s="165">
        <v>378.9</v>
      </c>
      <c r="K26" s="165">
        <f>694</f>
        <v>694</v>
      </c>
      <c r="L26" s="146">
        <f>247</f>
        <v>247</v>
      </c>
      <c r="M26" s="146">
        <f>742</f>
        <v>742</v>
      </c>
      <c r="N26" s="146">
        <v>246.8</v>
      </c>
      <c r="O26" s="146">
        <f>361</f>
        <v>361</v>
      </c>
      <c r="P26" s="149"/>
      <c r="Q26" s="149">
        <f t="shared" si="1"/>
        <v>1.25</v>
      </c>
      <c r="R26" s="149">
        <f t="shared" si="1"/>
        <v>0.83161784111902892</v>
      </c>
      <c r="S26" s="149">
        <f t="shared" si="2"/>
        <v>0.65188704143573506</v>
      </c>
      <c r="T26" s="149">
        <f t="shared" si="2"/>
        <v>1.0691642651296831</v>
      </c>
      <c r="U26" s="149">
        <f t="shared" si="3"/>
        <v>0.65135919767748751</v>
      </c>
      <c r="V26" s="149">
        <f t="shared" si="3"/>
        <v>0.52017291066282423</v>
      </c>
      <c r="W26" s="149"/>
      <c r="X26" s="148">
        <f>$F$26/J26</f>
        <v>14.779625230931645</v>
      </c>
      <c r="Y26" s="148">
        <f>$F$26/K26</f>
        <v>8.0691642651296824</v>
      </c>
      <c r="Z26" s="148">
        <f>$F$26/L26</f>
        <v>22.672064777327936</v>
      </c>
      <c r="AA26" s="148">
        <f>$F$26/M26</f>
        <v>7.5471698113207548</v>
      </c>
      <c r="AB26" s="148">
        <f>$G$26/N26</f>
        <v>22.616693679092378</v>
      </c>
      <c r="AC26" s="148">
        <f>$G$26/O26</f>
        <v>15.462049861495842</v>
      </c>
    </row>
    <row r="27" spans="2:29" ht="15.75" x14ac:dyDescent="0.5">
      <c r="B27" s="171" t="s">
        <v>126</v>
      </c>
      <c r="C27" t="s">
        <v>127</v>
      </c>
      <c r="D27" s="174">
        <f>276.17</f>
        <v>276.17</v>
      </c>
      <c r="E27" s="146">
        <f>104</f>
        <v>104</v>
      </c>
      <c r="F27" s="146">
        <f>31800</f>
        <v>31800</v>
      </c>
      <c r="G27" s="142">
        <f t="shared" si="5"/>
        <v>28721.68</v>
      </c>
      <c r="I27" s="202">
        <f>1050</f>
        <v>1050</v>
      </c>
      <c r="J27" s="202">
        <v>1170</v>
      </c>
      <c r="K27" s="165">
        <f>1970</f>
        <v>1970</v>
      </c>
      <c r="L27" s="146">
        <f>-266.4</f>
        <v>-266.39999999999998</v>
      </c>
      <c r="M27" s="146">
        <f>-232</f>
        <v>-232</v>
      </c>
      <c r="N27" s="146">
        <f>-396</f>
        <v>-396</v>
      </c>
      <c r="O27" s="146">
        <f>-413</f>
        <v>-413</v>
      </c>
      <c r="P27" s="149"/>
      <c r="Q27" s="149">
        <f t="shared" si="1"/>
        <v>0.11428571428571432</v>
      </c>
      <c r="R27" s="149">
        <f t="shared" si="1"/>
        <v>0.68376068376068377</v>
      </c>
      <c r="S27" s="149">
        <f t="shared" si="2"/>
        <v>-0.22769230769230767</v>
      </c>
      <c r="T27" s="149">
        <f t="shared" si="2"/>
        <v>-0.11776649746192894</v>
      </c>
      <c r="U27" s="149">
        <f t="shared" si="3"/>
        <v>-0.33846153846153848</v>
      </c>
      <c r="V27" s="149">
        <f t="shared" si="3"/>
        <v>-0.20964467005076143</v>
      </c>
      <c r="W27" s="149"/>
      <c r="X27" s="148">
        <f>$F27/J27</f>
        <v>27.179487179487179</v>
      </c>
      <c r="Y27" s="148">
        <f>$F27/K27</f>
        <v>16.142131979695431</v>
      </c>
      <c r="Z27" s="148">
        <f>$F27/L27</f>
        <v>-119.36936936936938</v>
      </c>
      <c r="AA27" s="148">
        <f>$F27/M27</f>
        <v>-137.06896551724137</v>
      </c>
      <c r="AB27" s="148">
        <f>$G27/N27</f>
        <v>-72.529494949494946</v>
      </c>
      <c r="AC27" s="148">
        <f>$G27/O27</f>
        <v>-69.544019370460049</v>
      </c>
    </row>
    <row r="28" spans="2:29" ht="15.75" x14ac:dyDescent="0.5">
      <c r="B28" s="145"/>
      <c r="D28" s="60"/>
      <c r="E28" s="60"/>
      <c r="F28" s="146"/>
      <c r="G28" s="146"/>
      <c r="I28" s="178"/>
      <c r="J28" s="178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8"/>
      <c r="Y28" s="148"/>
      <c r="Z28" s="148"/>
      <c r="AA28" s="148"/>
      <c r="AB28" s="148"/>
      <c r="AC28" s="148"/>
    </row>
    <row r="29" spans="2:29" ht="15.75" x14ac:dyDescent="0.5">
      <c r="B29" s="150" t="s">
        <v>89</v>
      </c>
      <c r="C29" s="151"/>
      <c r="D29" s="151"/>
      <c r="E29" s="151"/>
      <c r="F29" s="151"/>
      <c r="G29" s="151"/>
      <c r="H29" s="152"/>
      <c r="I29" s="152"/>
      <c r="J29" s="152"/>
      <c r="K29" s="152"/>
      <c r="L29" s="152"/>
      <c r="M29" s="152"/>
      <c r="N29" s="152"/>
      <c r="O29" s="152"/>
      <c r="P29" s="152"/>
      <c r="Q29" s="179">
        <f t="shared" ref="Q29:V29" si="9">AVERAGE(Q20:Q27)</f>
        <v>0.55669895231182753</v>
      </c>
      <c r="R29" s="179">
        <f t="shared" si="9"/>
        <v>2.2960741325572291</v>
      </c>
      <c r="S29" s="179">
        <f t="shared" si="9"/>
        <v>0.43704781505611917</v>
      </c>
      <c r="T29" s="179">
        <f t="shared" si="9"/>
        <v>0.39147718501629014</v>
      </c>
      <c r="U29" s="179">
        <f t="shared" si="9"/>
        <v>-0.37004819079020862</v>
      </c>
      <c r="V29" s="179">
        <f t="shared" si="9"/>
        <v>-0.4572530043841766</v>
      </c>
      <c r="W29" s="152"/>
      <c r="X29" s="153">
        <f t="shared" ref="X29:AC29" si="10">AVERAGE(X20:X27)</f>
        <v>50.114555838177886</v>
      </c>
      <c r="Y29" s="153">
        <f t="shared" si="10"/>
        <v>22.957086060799615</v>
      </c>
      <c r="Z29" s="153">
        <f t="shared" si="10"/>
        <v>62.565594621526905</v>
      </c>
      <c r="AA29" s="153">
        <f t="shared" si="10"/>
        <v>27.067642803202769</v>
      </c>
      <c r="AB29" s="153">
        <f t="shared" si="10"/>
        <v>-6.1391102725810818</v>
      </c>
      <c r="AC29" s="154">
        <f t="shared" si="10"/>
        <v>-17.985985840621822</v>
      </c>
    </row>
    <row r="30" spans="2:29" ht="15.75" x14ac:dyDescent="0.5">
      <c r="B30" s="155" t="s">
        <v>21</v>
      </c>
      <c r="C30" s="84"/>
      <c r="D30" s="84"/>
      <c r="E30" s="84"/>
      <c r="F30" s="84"/>
      <c r="G30" s="84"/>
      <c r="H30" s="156"/>
      <c r="I30" s="156"/>
      <c r="J30" s="156"/>
      <c r="K30" s="156"/>
      <c r="L30" s="156"/>
      <c r="M30" s="156"/>
      <c r="N30" s="156"/>
      <c r="O30" s="156"/>
      <c r="P30" s="156"/>
      <c r="Q30" s="180">
        <f t="shared" ref="Q30:V30" si="11">MEDIAN(Q20:Q27)</f>
        <v>0.22814392589953691</v>
      </c>
      <c r="R30" s="180">
        <f t="shared" si="11"/>
        <v>0.70118482820898531</v>
      </c>
      <c r="S30" s="180">
        <f t="shared" si="11"/>
        <v>0.438805825225421</v>
      </c>
      <c r="T30" s="180">
        <f t="shared" si="11"/>
        <v>0.38570998343622948</v>
      </c>
      <c r="U30" s="180">
        <f t="shared" si="11"/>
        <v>0.4708879874769174</v>
      </c>
      <c r="V30" s="180">
        <f t="shared" si="11"/>
        <v>-0.30569569747079556</v>
      </c>
      <c r="W30" s="156"/>
      <c r="X30" s="157">
        <f t="shared" ref="X30:AC30" si="12">MEDIAN(X20:X27)</f>
        <v>27.792026573550331</v>
      </c>
      <c r="Y30" s="157">
        <f t="shared" si="12"/>
        <v>17.652470817094375</v>
      </c>
      <c r="Z30" s="157">
        <f t="shared" si="12"/>
        <v>78.314653383146535</v>
      </c>
      <c r="AA30" s="157">
        <f t="shared" si="12"/>
        <v>53.659732287492538</v>
      </c>
      <c r="AB30" s="157">
        <f t="shared" si="12"/>
        <v>14.871767371601207</v>
      </c>
      <c r="AC30" s="158">
        <f t="shared" si="12"/>
        <v>-10.522869009891481</v>
      </c>
    </row>
    <row r="31" spans="2:29" ht="15.75" x14ac:dyDescent="0.45">
      <c r="B31" s="138"/>
      <c r="C31" s="138"/>
      <c r="D31" s="139"/>
      <c r="E31" s="139"/>
      <c r="F31" s="139"/>
      <c r="G31" s="139"/>
      <c r="I31" s="139"/>
      <c r="J31" s="139"/>
      <c r="K31" s="139"/>
      <c r="L31" s="139"/>
      <c r="M31" s="139"/>
      <c r="N31" s="139"/>
      <c r="O31" s="139"/>
      <c r="P31" s="139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</row>
    <row r="32" spans="2:29" ht="18" x14ac:dyDescent="0.45">
      <c r="B32" s="131"/>
      <c r="C32" s="131"/>
      <c r="D32" s="134" t="s">
        <v>106</v>
      </c>
      <c r="E32" s="134"/>
      <c r="F32" s="134"/>
      <c r="G32" s="133"/>
      <c r="H32" s="134" t="s">
        <v>107</v>
      </c>
      <c r="I32" s="134"/>
      <c r="J32" s="134"/>
      <c r="K32" s="133"/>
      <c r="L32" s="134" t="s">
        <v>14</v>
      </c>
      <c r="M32" s="134"/>
      <c r="N32" s="134"/>
      <c r="O32" s="133"/>
      <c r="P32" s="133"/>
      <c r="Q32" s="134"/>
      <c r="R32" s="134"/>
      <c r="S32" s="134"/>
      <c r="T32" s="134" t="s">
        <v>16</v>
      </c>
      <c r="U32" s="134"/>
      <c r="V32" s="134"/>
      <c r="W32" s="133"/>
      <c r="X32" s="134" t="s">
        <v>19</v>
      </c>
      <c r="Y32" s="134"/>
      <c r="Z32" s="134"/>
      <c r="AA32" s="133"/>
      <c r="AB32" s="133"/>
      <c r="AC32" s="133"/>
    </row>
    <row r="33" spans="2:29" ht="15.75" x14ac:dyDescent="0.45">
      <c r="B33" s="135" t="s">
        <v>90</v>
      </c>
      <c r="C33" s="135"/>
      <c r="D33" s="136" t="s">
        <v>6</v>
      </c>
      <c r="E33" s="136" t="s">
        <v>18</v>
      </c>
      <c r="F33" s="136" t="s">
        <v>91</v>
      </c>
      <c r="G33" s="136"/>
      <c r="H33" s="136" t="s">
        <v>6</v>
      </c>
      <c r="I33" s="136" t="s">
        <v>18</v>
      </c>
      <c r="J33" s="136" t="s">
        <v>92</v>
      </c>
      <c r="K33" s="136"/>
      <c r="L33" s="136" t="s">
        <v>6</v>
      </c>
      <c r="M33" s="136" t="s">
        <v>18</v>
      </c>
      <c r="N33" s="136" t="s">
        <v>74</v>
      </c>
      <c r="O33" s="136"/>
      <c r="P33" s="136" t="s">
        <v>20</v>
      </c>
      <c r="Q33" s="136" t="s">
        <v>93</v>
      </c>
      <c r="R33" s="136" t="s">
        <v>50</v>
      </c>
      <c r="S33" s="136"/>
      <c r="T33" s="136" t="s">
        <v>6</v>
      </c>
      <c r="U33" s="136" t="s">
        <v>18</v>
      </c>
      <c r="V33" s="136" t="s">
        <v>74</v>
      </c>
      <c r="W33" s="136"/>
      <c r="X33" s="136" t="s">
        <v>6</v>
      </c>
      <c r="Y33" s="136" t="s">
        <v>18</v>
      </c>
      <c r="Z33" s="136" t="s">
        <v>74</v>
      </c>
      <c r="AA33" s="136"/>
      <c r="AB33" s="136"/>
      <c r="AC33" s="136"/>
    </row>
    <row r="34" spans="2:29" ht="15.75" x14ac:dyDescent="0.45">
      <c r="B34" s="138" t="s">
        <v>94</v>
      </c>
      <c r="C34" s="138"/>
      <c r="D34" s="159">
        <f>MIN(Y20:Y27)</f>
        <v>8.0691642651296824</v>
      </c>
      <c r="E34" s="159">
        <f>MIN(AA20:AA27)</f>
        <v>-148.61111111111111</v>
      </c>
      <c r="F34" s="159">
        <f>MIN(AC20:AC27)</f>
        <v>-108.51568965517241</v>
      </c>
      <c r="G34" s="139"/>
      <c r="H34" s="146">
        <f>K18</f>
        <v>229.28</v>
      </c>
      <c r="I34" s="146">
        <f>M18</f>
        <v>25.61</v>
      </c>
      <c r="J34" s="160">
        <v>2.9</v>
      </c>
      <c r="L34" s="146">
        <f>D34*H34</f>
        <v>1850.0979827089336</v>
      </c>
      <c r="M34" s="146">
        <f>E34*I34</f>
        <v>-3805.9305555555557</v>
      </c>
      <c r="N34" s="146" t="s">
        <v>95</v>
      </c>
      <c r="P34" s="161">
        <f>'Discounted Cash Flow '!O43</f>
        <v>573.46</v>
      </c>
      <c r="Q34" s="161">
        <f>-'Discounted Cash Flow '!O44</f>
        <v>683.78</v>
      </c>
      <c r="R34" s="205">
        <f>E10</f>
        <v>629.6</v>
      </c>
      <c r="S34" s="162"/>
      <c r="T34" s="163">
        <f>L34+P34-Q34</f>
        <v>1739.7779827089337</v>
      </c>
      <c r="U34" s="163">
        <f>M34+P34-Q34</f>
        <v>-3916.2505555555554</v>
      </c>
      <c r="V34" s="163">
        <f>J34*R34*F34</f>
        <v>-198132.28679999997</v>
      </c>
      <c r="W34" s="140"/>
      <c r="X34" s="164">
        <f>T34/$R34</f>
        <v>2.7633068340357902</v>
      </c>
      <c r="Y34" s="164">
        <f t="shared" ref="Y34:Z37" si="13">U34/$R34</f>
        <v>-6.2202200691797254</v>
      </c>
      <c r="Z34" s="164">
        <f t="shared" si="13"/>
        <v>-314.69549999999992</v>
      </c>
      <c r="AB34" s="140"/>
      <c r="AC34" s="140"/>
    </row>
    <row r="35" spans="2:29" ht="15.75" x14ac:dyDescent="0.45">
      <c r="B35" s="138" t="s">
        <v>89</v>
      </c>
      <c r="C35" s="138"/>
      <c r="D35" s="159">
        <f>Y29</f>
        <v>22.957086060799615</v>
      </c>
      <c r="E35" s="159">
        <f>AA29</f>
        <v>27.067642803202769</v>
      </c>
      <c r="F35" s="159">
        <f>AC29</f>
        <v>-17.985985840621822</v>
      </c>
      <c r="G35" s="139"/>
      <c r="H35" s="165">
        <f>H34</f>
        <v>229.28</v>
      </c>
      <c r="I35" s="165">
        <f t="shared" ref="I35:I37" si="14">I34</f>
        <v>25.61</v>
      </c>
      <c r="J35" s="160">
        <v>2.9</v>
      </c>
      <c r="K35" s="146"/>
      <c r="L35" s="146">
        <f t="shared" ref="L35:M37" si="15">D35*H35</f>
        <v>5263.6006920201353</v>
      </c>
      <c r="M35" s="146">
        <f t="shared" si="15"/>
        <v>693.20233219002296</v>
      </c>
      <c r="N35" s="165" t="str">
        <f>N34</f>
        <v>--</v>
      </c>
      <c r="P35" s="161">
        <f>P34</f>
        <v>573.46</v>
      </c>
      <c r="Q35" s="161">
        <f>Q34</f>
        <v>683.78</v>
      </c>
      <c r="R35" s="205">
        <f>R34</f>
        <v>629.6</v>
      </c>
      <c r="T35" s="163">
        <f t="shared" ref="T35:T37" si="16">L35+P35-Q35</f>
        <v>5153.2806920201356</v>
      </c>
      <c r="U35" s="163">
        <f>M35+P35-Q35</f>
        <v>582.88233219002291</v>
      </c>
      <c r="V35" s="163">
        <f t="shared" ref="V35:V37" si="17">J35*R35*F35</f>
        <v>-32839.53238724095</v>
      </c>
      <c r="W35" s="140"/>
      <c r="X35" s="164">
        <f>T35/$R35</f>
        <v>8.1850074523826795</v>
      </c>
      <c r="Y35" s="164">
        <f t="shared" si="13"/>
        <v>0.92579785925988389</v>
      </c>
      <c r="Z35" s="164">
        <f t="shared" si="13"/>
        <v>-52.159358937803283</v>
      </c>
      <c r="AA35" s="140"/>
      <c r="AB35" s="140"/>
      <c r="AC35" s="140"/>
    </row>
    <row r="36" spans="2:29" ht="15.75" x14ac:dyDescent="0.45">
      <c r="B36" s="138" t="s">
        <v>21</v>
      </c>
      <c r="C36" s="138"/>
      <c r="D36" s="159">
        <f t="shared" ref="D36" si="18">Y30</f>
        <v>17.652470817094375</v>
      </c>
      <c r="E36" s="159">
        <f t="shared" ref="E36" si="19">AA30</f>
        <v>53.659732287492538</v>
      </c>
      <c r="F36" s="159">
        <f t="shared" ref="F36" si="20">AC30</f>
        <v>-10.522869009891481</v>
      </c>
      <c r="G36" s="139"/>
      <c r="H36" s="165">
        <f>H35</f>
        <v>229.28</v>
      </c>
      <c r="I36" s="165">
        <f t="shared" si="14"/>
        <v>25.61</v>
      </c>
      <c r="J36" s="160">
        <v>2.9</v>
      </c>
      <c r="K36" s="146"/>
      <c r="L36" s="146">
        <f t="shared" si="15"/>
        <v>4047.3585089433982</v>
      </c>
      <c r="M36" s="146">
        <f t="shared" si="15"/>
        <v>1374.2257438826839</v>
      </c>
      <c r="N36" s="146" t="s">
        <v>95</v>
      </c>
      <c r="P36" s="161">
        <f t="shared" ref="P36:Q37" si="21">P35</f>
        <v>573.46</v>
      </c>
      <c r="Q36" s="161">
        <f t="shared" si="21"/>
        <v>683.78</v>
      </c>
      <c r="R36" s="205">
        <f t="shared" ref="R36:R37" si="22">R35</f>
        <v>629.6</v>
      </c>
      <c r="T36" s="163">
        <f t="shared" si="16"/>
        <v>3937.0385089433985</v>
      </c>
      <c r="U36" s="163">
        <f>M36+P36-Q36</f>
        <v>1263.905743882684</v>
      </c>
      <c r="V36" s="163">
        <f t="shared" si="17"/>
        <v>-19213.075153020261</v>
      </c>
      <c r="W36" s="140"/>
      <c r="X36" s="164">
        <f>T36/$R36</f>
        <v>6.2532377842175961</v>
      </c>
      <c r="Y36" s="164">
        <f t="shared" si="13"/>
        <v>2.0074741802456861</v>
      </c>
      <c r="Z36" s="164">
        <f t="shared" si="13"/>
        <v>-30.516320128685294</v>
      </c>
      <c r="AA36" s="140"/>
      <c r="AB36" s="140"/>
      <c r="AC36" s="140"/>
    </row>
    <row r="37" spans="2:29" ht="15.75" x14ac:dyDescent="0.45">
      <c r="B37" s="138" t="s">
        <v>96</v>
      </c>
      <c r="C37" s="138"/>
      <c r="D37" s="159">
        <f>MAX(Y20:Y27)</f>
        <v>56.30252100840336</v>
      </c>
      <c r="E37" s="159">
        <f>MAX(AA20:AA27)</f>
        <v>262.5</v>
      </c>
      <c r="F37" s="159">
        <f>MAX(AC20:AC27)</f>
        <v>66.943079295154178</v>
      </c>
      <c r="G37" s="139"/>
      <c r="H37" s="165">
        <f t="shared" ref="H37" si="23">H36</f>
        <v>229.28</v>
      </c>
      <c r="I37" s="165">
        <f t="shared" si="14"/>
        <v>25.61</v>
      </c>
      <c r="J37" s="160">
        <v>2.9</v>
      </c>
      <c r="K37" s="146"/>
      <c r="L37" s="146">
        <f t="shared" si="15"/>
        <v>12909.042016806723</v>
      </c>
      <c r="M37" s="146">
        <f t="shared" si="15"/>
        <v>6722.625</v>
      </c>
      <c r="N37" s="146" t="s">
        <v>95</v>
      </c>
      <c r="P37" s="161">
        <f t="shared" si="21"/>
        <v>573.46</v>
      </c>
      <c r="Q37" s="161">
        <f t="shared" si="21"/>
        <v>683.78</v>
      </c>
      <c r="R37" s="205">
        <f t="shared" si="22"/>
        <v>629.6</v>
      </c>
      <c r="T37" s="163">
        <f t="shared" si="16"/>
        <v>12798.722016806723</v>
      </c>
      <c r="U37" s="163">
        <f>M37+P37-Q37</f>
        <v>6612.3050000000003</v>
      </c>
      <c r="V37" s="163">
        <f t="shared" si="17"/>
        <v>122227.3519002643</v>
      </c>
      <c r="W37" s="140"/>
      <c r="X37" s="164">
        <f t="shared" ref="X37" si="24">T37/$R37</f>
        <v>20.328338654394415</v>
      </c>
      <c r="Y37" s="164">
        <f t="shared" si="13"/>
        <v>10.50239040660737</v>
      </c>
      <c r="Z37" s="164">
        <f t="shared" si="13"/>
        <v>194.13492995594711</v>
      </c>
      <c r="AA37" s="140"/>
      <c r="AB37" s="140"/>
      <c r="AC37" s="140"/>
    </row>
    <row r="38" spans="2:29" x14ac:dyDescent="0.45">
      <c r="B38" s="166"/>
      <c r="C38" s="49"/>
      <c r="D38" s="49"/>
      <c r="E38" s="49"/>
      <c r="F38" s="50"/>
      <c r="G38" s="50"/>
      <c r="H38" s="50"/>
      <c r="Q38" s="206"/>
    </row>
    <row r="39" spans="2:29" x14ac:dyDescent="0.45">
      <c r="B39" s="49"/>
      <c r="C39" s="49"/>
      <c r="D39" s="49"/>
      <c r="E39" s="49"/>
      <c r="F39" s="49"/>
      <c r="G39" s="49"/>
      <c r="H39" s="49"/>
      <c r="Q39" s="206"/>
      <c r="R39" s="206"/>
    </row>
    <row r="40" spans="2:29" x14ac:dyDescent="0.45">
      <c r="D40" s="49"/>
      <c r="E40" s="49"/>
      <c r="F40" s="49"/>
      <c r="G40" s="167"/>
      <c r="H40" s="167"/>
      <c r="Q40" s="206"/>
      <c r="R40" s="206"/>
    </row>
    <row r="41" spans="2:29" x14ac:dyDescent="0.45">
      <c r="D41" s="49"/>
      <c r="E41" s="49"/>
      <c r="F41" s="49"/>
      <c r="G41" s="168"/>
      <c r="H41" s="168"/>
      <c r="J41" s="206" t="s">
        <v>103</v>
      </c>
    </row>
    <row r="42" spans="2:29" x14ac:dyDescent="0.45">
      <c r="D42" s="49"/>
      <c r="E42" s="49"/>
      <c r="F42" s="49"/>
      <c r="G42" s="49"/>
      <c r="H42" s="49"/>
      <c r="R42" s="206" t="s">
        <v>105</v>
      </c>
    </row>
    <row r="43" spans="2:29" x14ac:dyDescent="0.45">
      <c r="D43" s="49"/>
      <c r="E43" s="49"/>
      <c r="F43" s="49"/>
      <c r="G43" s="169"/>
      <c r="H43" s="169"/>
      <c r="P43" t="s">
        <v>97</v>
      </c>
    </row>
    <row r="44" spans="2:29" x14ac:dyDescent="0.45">
      <c r="D44" s="49"/>
      <c r="E44" s="49"/>
      <c r="F44" s="49"/>
      <c r="G44" s="49"/>
      <c r="H44" s="49"/>
      <c r="M44" t="s">
        <v>108</v>
      </c>
    </row>
    <row r="47" spans="2:29" x14ac:dyDescent="0.45">
      <c r="M47" s="236" t="s">
        <v>104</v>
      </c>
      <c r="N47" s="236"/>
      <c r="O47" s="236"/>
    </row>
    <row r="48" spans="2:29" x14ac:dyDescent="0.45">
      <c r="M48" s="236"/>
      <c r="N48" s="236"/>
      <c r="O48" s="236"/>
    </row>
    <row r="49" spans="13:15" x14ac:dyDescent="0.45">
      <c r="M49" s="236"/>
      <c r="N49" s="236"/>
      <c r="O49" s="236"/>
    </row>
  </sheetData>
  <mergeCells count="4">
    <mergeCell ref="B2:F2"/>
    <mergeCell ref="B3:C3"/>
    <mergeCell ref="E3:F3"/>
    <mergeCell ref="M47:O49"/>
  </mergeCells>
  <phoneticPr fontId="18" type="noConversion"/>
  <conditionalFormatting sqref="H18:H1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8:P28 P20:P25 P2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:Q2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8:R2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8:S2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8:T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8:U2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8:V2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:X27 Y22:AC22 Y20:Y27 Y1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1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8:Z21 Z23:Z27 AA26 AA1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9:AA21 AA23:AA25 AA2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18:AB21 AB23:AB27 AC26 AC18 AC2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23:AC25 AC19 AC27 AC2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Discounted Cash Flow </vt:lpstr>
      <vt:lpstr>Public (Trading) Comps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Khoo</dc:creator>
  <cp:keywords/>
  <dc:description/>
  <cp:lastModifiedBy>victoria sarabosing</cp:lastModifiedBy>
  <cp:revision/>
  <cp:lastPrinted>2026-07-01T04:55:43Z</cp:lastPrinted>
  <dcterms:created xsi:type="dcterms:W3CDTF">2015-06-05T18:17:20Z</dcterms:created>
  <dcterms:modified xsi:type="dcterms:W3CDTF">2026-07-03T02:41:40Z</dcterms:modified>
  <cp:category/>
  <cp:contentStatus/>
</cp:coreProperties>
</file>